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Рес.см.расчет" sheetId="1" r:id="rId1"/>
  </sheets>
  <definedNames/>
  <calcPr fullCalcOnLoad="1"/>
</workbook>
</file>

<file path=xl/sharedStrings.xml><?xml version="1.0" encoding="utf-8"?>
<sst xmlns="http://schemas.openxmlformats.org/spreadsheetml/2006/main" count="263" uniqueCount="157">
  <si>
    <t>ЛОКАЛЬНЫЙ РЕСУРСНЫЙ СМЕТНЫЙ РАСЧЕТ</t>
  </si>
  <si>
    <t>№ пп</t>
  </si>
  <si>
    <t>Код ресурса, Наименование, Единица измерения, (Кол-во механиза-торов)</t>
  </si>
  <si>
    <t>Количество единиц по проектным данным</t>
  </si>
  <si>
    <t>Сметная стоимость в базисных ценах (руб.)</t>
  </si>
  <si>
    <t>Сметная стоимость в текущих ценах (руб.)</t>
  </si>
  <si>
    <t>на ед. изм.</t>
  </si>
  <si>
    <t>общая</t>
  </si>
  <si>
    <t>Затраты труда рабочих-строителей</t>
  </si>
  <si>
    <t>1.</t>
  </si>
  <si>
    <t>З1-1020
Рабочий строитель среднего разряда 2
чел.-ч</t>
  </si>
  <si>
    <t>s</t>
  </si>
  <si>
    <t>Г</t>
  </si>
  <si>
    <t>2.</t>
  </si>
  <si>
    <t>З1-1021
Рабочий строитель среднего разряда 2,1
чел.-ч</t>
  </si>
  <si>
    <t>3.</t>
  </si>
  <si>
    <t>З1-1022
Рабочий строитель среднего разряда 2,2
чел.-ч</t>
  </si>
  <si>
    <t>4.</t>
  </si>
  <si>
    <t>З1-1023
Рабочий строитель среднего разряда 2,3
чел.-ч</t>
  </si>
  <si>
    <t>5.</t>
  </si>
  <si>
    <t>З1-1025
Рабочий строитель среднего разряда 2,5
чел.-ч</t>
  </si>
  <si>
    <t>6.</t>
  </si>
  <si>
    <t>З1-1030
Рабочий строитель среднего разряда 3
чел.-ч</t>
  </si>
  <si>
    <t>7.</t>
  </si>
  <si>
    <t>З1-1032
Рабочий строитель среднего разряда 3,2
чел.-ч</t>
  </si>
  <si>
    <t>8.</t>
  </si>
  <si>
    <t>З1-1033
Рабочий строитель среднего разряда 3,3
чел.-ч</t>
  </si>
  <si>
    <t>9.</t>
  </si>
  <si>
    <t>З1-1034
Рабочий строитель среднего разряда 3,4
чел.-ч</t>
  </si>
  <si>
    <t>10.</t>
  </si>
  <si>
    <t>З1-1036
Рабочий строитель среднего разряда 3,6
чел.-ч</t>
  </si>
  <si>
    <t>11.</t>
  </si>
  <si>
    <t>З1-1039
Рабочий строитель среднего разряда 3,9
чел.-ч</t>
  </si>
  <si>
    <t>12.</t>
  </si>
  <si>
    <t>З1-1041
Рабочий строитель среднего разряда 4,1
чел.-ч</t>
  </si>
  <si>
    <t>Итого по разделу</t>
  </si>
  <si>
    <t>sum</t>
  </si>
  <si>
    <t>Затраты труда машинистов</t>
  </si>
  <si>
    <t>13.</t>
  </si>
  <si>
    <t>З1000-0001
Затраты труда машинистов
чел.-ч</t>
  </si>
  <si>
    <t>Ж</t>
  </si>
  <si>
    <t>Машины и механизмы</t>
  </si>
  <si>
    <t>14.</t>
  </si>
  <si>
    <t>Х02-0129
Краны башенные при работе на других видах строительства 8 т
маш.-ч(1)</t>
  </si>
  <si>
    <t>IsMash</t>
  </si>
  <si>
    <t>mWithZPM</t>
  </si>
  <si>
    <t>15.</t>
  </si>
  <si>
    <t>Х02-1141
Краны на автомобильном ходу при работе на других видах строительства 10 т
маш.-ч(1)</t>
  </si>
  <si>
    <t>16.</t>
  </si>
  <si>
    <t>Х03-0101
Автопогрузчики 5 т
маш.-ч(1)</t>
  </si>
  <si>
    <t>17.</t>
  </si>
  <si>
    <t>Х03-0954
Подъемники грузоподъемностью до 500 кг одномачтовые, высота подъема 45 м
маш.-ч(1)</t>
  </si>
  <si>
    <t>18.</t>
  </si>
  <si>
    <t>Х05-0101
Компрессоры передвижные с двигателем внутреннего сгорания давлением до 686 кПа (7 ат), производительность 2,2 м3/мин
маш.-ч(1)</t>
  </si>
  <si>
    <t>19.</t>
  </si>
  <si>
    <t>Х11-0901
Растворосмесители передвижные 65 л
маш.-ч(1)</t>
  </si>
  <si>
    <t>20.</t>
  </si>
  <si>
    <t>Х11-1301
Вибратор поверхностный
маш.-ч</t>
  </si>
  <si>
    <t>21.</t>
  </si>
  <si>
    <t>Х12-1011
Котлы битумные передвижные 400 л
маш.-ч</t>
  </si>
  <si>
    <t>22.</t>
  </si>
  <si>
    <t>Х13-4041
Шуруповерт
маш.-ч</t>
  </si>
  <si>
    <t>23.</t>
  </si>
  <si>
    <t>Х33-0804
Молотки при работе от передвижных компрессорных станций отбойные пневматические
маш.-ч</t>
  </si>
  <si>
    <t>24.</t>
  </si>
  <si>
    <t>Х33-1531
Пила дисковая электрическая
маш.-ч</t>
  </si>
  <si>
    <t>25.</t>
  </si>
  <si>
    <t>Х40-0001
Автомобили бортовые, грузоподъемность до 5 т
маш.-ч(1)</t>
  </si>
  <si>
    <t>Материальные ресурсы</t>
  </si>
  <si>
    <t>IsMater</t>
  </si>
  <si>
    <t>С101-1482
Шурупы с полукруглой головкой 5х70 мм
т</t>
  </si>
  <si>
    <t>С101-1596
Шкурка шлифовальная двухслойная с зернистостью 40-25
м2</t>
  </si>
  <si>
    <t>С101-1757
Ветошь
кг</t>
  </si>
  <si>
    <t>С101-1805
Гвозди строительные
т</t>
  </si>
  <si>
    <t>С101-1862
Пластик бумажно-слоистый 2 с декоративной стороной
1000 м2</t>
  </si>
  <si>
    <t>С101-1959
Краска водоэмульсионная ВЭАК-1180
т</t>
  </si>
  <si>
    <t>С101-2388
Герметик пенополиуретановый (пена монтажная) типа Makrofleks, Soudal в баллонах по 750 мл
шт.</t>
  </si>
  <si>
    <t>С101-2434
Клей ПВА
кг</t>
  </si>
  <si>
    <t>С101-2513
Листы гипсоволокнистые влагостойкие ГВЛВ 10 мм
м2</t>
  </si>
  <si>
    <t>С101-2912
Доски подоконные ПВХ, шириной 600 мм
м</t>
  </si>
  <si>
    <t>С101-3445
Керамический гранит, неполированный, квадратный, толщиной 8 мм
м2</t>
  </si>
  <si>
    <t>С102-0303
Клинья пластиковые монтажные
шт.</t>
  </si>
  <si>
    <t>С201-1306
Уголок МАК
м</t>
  </si>
  <si>
    <t>ИТОГО ПО СМЕТЕ</t>
  </si>
  <si>
    <t>ТРАНСПОРТНЫЕ РАСХОДЫ</t>
  </si>
  <si>
    <t>ИТОГО С ТРАНСПОРТОМ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</si>
  <si>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</si>
  <si>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</si>
  <si>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</si>
  <si>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</si>
  <si>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</si>
  <si>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</si>
  <si>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ТЕКУЩИЙ ИНДЕКС НА МЕХАНИЗМЫ</t>
  </si>
  <si>
    <t>Стоимость механизмов</t>
  </si>
  <si>
    <t>ТЕКУЩАЯ ЭКСПЛ.МАШИН И МЕХАН.</t>
  </si>
  <si>
    <t>Средняя з/пл строителей</t>
  </si>
  <si>
    <t>Часовая ставка</t>
  </si>
  <si>
    <t>ТЕКУЩАЯ З.П. ОСНОВНЫХ РАБОЧИХ</t>
  </si>
  <si>
    <t>ФОНД ОПЛАТЫ ТРУДА</t>
  </si>
  <si>
    <t>Накладные расходы с К=0,85</t>
  </si>
  <si>
    <t>Накладные расходы с К*100 (служеб)</t>
  </si>
  <si>
    <t>Сметная прибыль с К=0,8</t>
  </si>
  <si>
    <t xml:space="preserve">                           служебная строка</t>
  </si>
  <si>
    <t>Средний процент Н.Р.</t>
  </si>
  <si>
    <t>НАКЛАДНЫЕ РАСХОДЫ от ФОТ</t>
  </si>
  <si>
    <t>Средний процент С.П.</t>
  </si>
  <si>
    <t>СМЕТНАЯ ПРИБЫЛЬ от ФОТ</t>
  </si>
  <si>
    <t>ИТОГО С Н.Р. и С.П.</t>
  </si>
  <si>
    <t>ВРЕМЕННЫЕ ЗДАНИЯ И СООРУЖЕНИЯ</t>
  </si>
  <si>
    <t>ИТОГО</t>
  </si>
  <si>
    <t>ЗИМНЕЕ УДОРОЖАНИЕ</t>
  </si>
  <si>
    <t>НЕПРЕДВИДЕННЫЕ ЗАТРАТЫ</t>
  </si>
  <si>
    <t xml:space="preserve">                                        ПРОЧИЕ ЗАТРАТЫ</t>
  </si>
  <si>
    <t>РАЗЪЕЗДНОЙ ХАРАКТЕР РАБОТ</t>
  </si>
  <si>
    <t>ПЕРЕВОЗКА РАБОЧИХ</t>
  </si>
  <si>
    <t>ПСД</t>
  </si>
  <si>
    <t>ИТОГО С ПСД</t>
  </si>
  <si>
    <t>НАЛОГ НА ДОБАВЛЕННУЮ СТОИМОСТЬ</t>
  </si>
  <si>
    <t>ВСЕГО ПО СМЕТЕ</t>
  </si>
  <si>
    <t>Рабочие дни</t>
  </si>
  <si>
    <t>Командировочные</t>
  </si>
  <si>
    <t>Составил:</t>
  </si>
  <si>
    <t>(должность, подпись, Ф.И.О)</t>
  </si>
  <si>
    <t>Проверил:</t>
  </si>
  <si>
    <t>С101-0256
Плитки керамические глазурованные для внутренней облицовки стен 
м2</t>
  </si>
  <si>
    <t>С101-0456
Краска для покраски воздухоотвода
т</t>
  </si>
  <si>
    <t>С101-1667
Шпатлевка 
т</t>
  </si>
  <si>
    <t>С101-1776
Клей плиточный
т</t>
  </si>
  <si>
    <t>С101-1971
Затирка
т</t>
  </si>
  <si>
    <t>С101-3464
Грунтовка 
т</t>
  </si>
  <si>
    <t>С203-0013
Рама оконная
м2</t>
  </si>
  <si>
    <t>С203-0359
Наличники 
м</t>
  </si>
  <si>
    <t>С402-0005
Раствор 
м3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</si>
  <si>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</si>
  <si>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</si>
  <si>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</si>
  <si>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</si>
  <si>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</si>
  <si>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</si>
  <si>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</si>
  <si>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</si>
  <si>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</si>
  <si>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</si>
  <si>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</si>
  <si>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</si>
  <si>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</si>
  <si>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</si>
  <si>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</si>
  <si>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</si>
  <si>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</si>
  <si>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</si>
  <si>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</si>
  <si>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</si>
  <si>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</si>
  <si>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</si>
  <si>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Составлена в  текущих ценах на 07.2012 г.</t>
  </si>
  <si>
    <t>на ремонт буфета ОАО "Рязаньгоргаз" по ул. Семашко, д.18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</si>
</sst>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;\-#,##0.000;"/>
    <numFmt numFmtId="167" formatCode="#,##0;\-#,##0;"/>
    <numFmt numFmtId="168" formatCode="#,##0.00;\-#,##0.00;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46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4" fontId="0" fillId="2" borderId="0" xfId="0" applyFont="1" applyBorder="1" applyAlignment="1">
      <alignment horizontal="right" vertical="top" wrapText="1"/>
    </xf>
    <xf numFmtId="49" fontId="3" fillId="2" borderId="0" xfId="0" applyNumberFormat="1" applyFont="1" applyBorder="1" applyAlignment="1">
      <alignment horizontal="left" vertical="top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 wrapText="1"/>
    </xf>
    <xf numFmtId="166" fontId="0" fillId="0" borderId="0" xfId="0" applyFont="1" applyAlignment="1">
      <alignment horizontal="righ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49" fontId="2" fillId="0" borderId="3" xfId="0" applyNumberFormat="1" applyFont="1" applyAlignment="1">
      <alignment horizontal="left" vertical="top" wrapText="1"/>
    </xf>
    <xf numFmtId="164" fontId="2" fillId="0" borderId="3" xfId="0" applyNumberFormat="1" applyFont="1" applyAlignment="1">
      <alignment horizontal="center" vertical="top" wrapText="1"/>
    </xf>
    <xf numFmtId="167" fontId="2" fillId="0" borderId="3" xfId="0" applyNumberFormat="1" applyFont="1" applyAlignment="1">
      <alignment horizontal="right" vertical="top" wrapText="1"/>
    </xf>
    <xf numFmtId="168" fontId="4" fillId="0" borderId="0" xfId="0" applyNumberFormat="1" applyFont="1" applyAlignment="1">
      <alignment horizontal="right" vertical="top" wrapText="1"/>
    </xf>
    <xf numFmtId="167" fontId="4" fillId="0" borderId="0" xfId="0" applyNumberFormat="1" applyFont="1" applyAlignment="1">
      <alignment horizontal="right" vertical="top" wrapText="1"/>
    </xf>
    <xf numFmtId="168" fontId="0" fillId="0" borderId="0" xfId="0" applyFont="1" applyAlignment="1">
      <alignment horizontal="right" vertical="top" wrapText="1"/>
    </xf>
    <xf numFmtId="168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 wrapText="1"/>
    </xf>
    <xf numFmtId="49" fontId="0" fillId="0" borderId="0" xfId="0" applyAlignment="1">
      <alignment horizontal="left" vertical="top" wrapText="1"/>
    </xf>
    <xf numFmtId="49" fontId="0" fillId="0" borderId="0" xfId="0" applyAlignment="1">
      <alignment horizontal="right" vertical="top" wrapText="1"/>
    </xf>
    <xf numFmtId="3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Alignment="1">
      <alignment horizontal="left" vertical="top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164" fontId="0" fillId="0" borderId="0" xfId="0" applyFont="1" applyAlignment="1">
      <alignment horizontal="center" vertical="top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0" fillId="0" borderId="10" xfId="0" applyFont="1" applyAlignment="1">
      <alignment horizontal="center" vertical="center" wrapText="1"/>
    </xf>
    <xf numFmtId="49" fontId="0" fillId="0" borderId="11" xfId="0" applyFont="1" applyAlignment="1">
      <alignment horizontal="left" vertical="top"/>
    </xf>
    <xf numFmtId="49" fontId="5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30"/>
  <sheetViews>
    <sheetView tabSelected="1" view="pageBreakPreview" zoomScale="60" workbookViewId="0" topLeftCell="A70">
      <selection activeCell="C1" sqref="C1"/>
    </sheetView>
  </sheetViews>
  <sheetFormatPr defaultColWidth="9.140625" defaultRowHeight="10.5"/>
  <cols>
    <col min="1" max="1" width="6.00390625" style="1" customWidth="1"/>
    <col min="2" max="2" width="36.28125" style="1" customWidth="1"/>
    <col min="3" max="3" width="10.8515625" style="1" customWidth="1"/>
    <col min="4" max="5" width="10.8515625" style="1" hidden="1" customWidth="1"/>
    <col min="6" max="6" width="10.8515625" style="1" customWidth="1"/>
    <col min="7" max="7" width="11.8515625" style="1" customWidth="1"/>
    <col min="8" max="16" width="9.140625" style="1" hidden="1" customWidth="1"/>
    <col min="17" max="18" width="9.140625" style="1" customWidth="1"/>
    <col min="19" max="20" width="9.140625" style="1" hidden="1" customWidth="1"/>
    <col min="21" max="16384" width="9.140625" style="1" customWidth="1"/>
  </cols>
  <sheetData>
    <row r="1" spans="1:7" ht="10.5">
      <c r="A1" s="2"/>
      <c r="C1" s="2"/>
      <c r="G1" s="3"/>
    </row>
    <row r="3" spans="1:7" ht="10.5">
      <c r="A3" s="28" t="s">
        <v>0</v>
      </c>
      <c r="B3" s="28"/>
      <c r="C3" s="28"/>
      <c r="D3" s="28"/>
      <c r="E3" s="28"/>
      <c r="F3" s="28"/>
      <c r="G3" s="28"/>
    </row>
    <row r="4" spans="1:7" ht="10.5">
      <c r="A4" s="29" t="s">
        <v>156</v>
      </c>
      <c r="B4" s="30"/>
      <c r="C4" s="30"/>
      <c r="D4" s="30"/>
      <c r="E4" s="30"/>
      <c r="F4" s="30"/>
      <c r="G4" s="30"/>
    </row>
    <row r="5" spans="1:7" ht="10.5">
      <c r="A5" s="31" t="s">
        <v>155</v>
      </c>
      <c r="B5" s="32"/>
      <c r="C5" s="32"/>
      <c r="D5" s="32"/>
      <c r="E5" s="32"/>
      <c r="F5" s="32"/>
      <c r="G5" s="32"/>
    </row>
    <row r="6" ht="4.5" customHeight="1"/>
    <row r="7" spans="1:7" ht="10.5" customHeight="1">
      <c r="A7" s="41" t="s">
        <v>1</v>
      </c>
      <c r="B7" s="41" t="s">
        <v>2</v>
      </c>
      <c r="C7" s="41" t="s">
        <v>3</v>
      </c>
      <c r="D7" s="33" t="s">
        <v>4</v>
      </c>
      <c r="E7" s="34"/>
      <c r="F7" s="33" t="s">
        <v>5</v>
      </c>
      <c r="G7" s="34"/>
    </row>
    <row r="8" spans="1:7" ht="21.75" customHeight="1">
      <c r="A8" s="42"/>
      <c r="B8" s="42"/>
      <c r="C8" s="42"/>
      <c r="D8" s="35"/>
      <c r="E8" s="36"/>
      <c r="F8" s="35"/>
      <c r="G8" s="36"/>
    </row>
    <row r="9" spans="1:7" ht="10.5" customHeight="1">
      <c r="A9" s="43"/>
      <c r="B9" s="43"/>
      <c r="C9" s="43"/>
      <c r="D9" s="6" t="s">
        <v>6</v>
      </c>
      <c r="E9" s="6" t="s">
        <v>7</v>
      </c>
      <c r="F9" s="6" t="s">
        <v>6</v>
      </c>
      <c r="G9" s="6" t="s">
        <v>7</v>
      </c>
    </row>
    <row r="10" spans="1:7" ht="10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ht="10.5" hidden="1"/>
    <row r="12" spans="1:7" ht="10.5" hidden="1">
      <c r="A12" s="8"/>
      <c r="B12" s="9" t="s">
        <v>8</v>
      </c>
      <c r="C12" s="8"/>
      <c r="D12" s="8"/>
      <c r="E12" s="8"/>
      <c r="F12" s="8"/>
      <c r="G12" s="8"/>
    </row>
    <row r="13" ht="10.5" hidden="1"/>
    <row r="14" spans="1:12" ht="31.5" hidden="1">
      <c r="A14" s="10" t="s">
        <v>9</v>
      </c>
      <c r="B14" s="11" t="s">
        <v>10</v>
      </c>
      <c r="C14" s="12">
        <v>0.80127</v>
      </c>
      <c r="D14" s="13">
        <v>7.8</v>
      </c>
      <c r="E14" s="14">
        <f aca="true" t="shared" si="0" ref="E14:E25">ROUND(IF(C14="",0,C14)*IF(D14="",0,D14),0)</f>
        <v>6</v>
      </c>
      <c r="F14" s="13"/>
      <c r="G14" s="14">
        <f aca="true" t="shared" si="1" ref="G14:G25">ROUND(IF(C14="",0,C14)*IF(F14="",0,F14),0)</f>
        <v>0</v>
      </c>
      <c r="H14" s="1" t="s">
        <v>11</v>
      </c>
      <c r="I14" s="1" t="s">
        <v>12</v>
      </c>
      <c r="L14" s="14"/>
    </row>
    <row r="15" spans="1:12" ht="42" hidden="1">
      <c r="A15" s="10" t="s">
        <v>13</v>
      </c>
      <c r="B15" s="11" t="s">
        <v>14</v>
      </c>
      <c r="C15" s="12">
        <v>34.7724</v>
      </c>
      <c r="D15" s="13">
        <v>7.87</v>
      </c>
      <c r="E15" s="14">
        <f t="shared" si="0"/>
        <v>274</v>
      </c>
      <c r="F15" s="13"/>
      <c r="G15" s="14">
        <f t="shared" si="1"/>
        <v>0</v>
      </c>
      <c r="H15" s="1" t="s">
        <v>11</v>
      </c>
      <c r="I15" s="1" t="s">
        <v>12</v>
      </c>
      <c r="L15" s="14"/>
    </row>
    <row r="16" spans="1:12" ht="42" hidden="1">
      <c r="A16" s="10" t="s">
        <v>15</v>
      </c>
      <c r="B16" s="11" t="s">
        <v>16</v>
      </c>
      <c r="C16" s="12">
        <v>10.41703</v>
      </c>
      <c r="D16" s="13">
        <v>7.94</v>
      </c>
      <c r="E16" s="14">
        <f t="shared" si="0"/>
        <v>83</v>
      </c>
      <c r="F16" s="13"/>
      <c r="G16" s="14">
        <f t="shared" si="1"/>
        <v>0</v>
      </c>
      <c r="H16" s="1" t="s">
        <v>11</v>
      </c>
      <c r="I16" s="1" t="s">
        <v>12</v>
      </c>
      <c r="L16" s="14"/>
    </row>
    <row r="17" spans="1:12" ht="42" hidden="1">
      <c r="A17" s="10" t="s">
        <v>17</v>
      </c>
      <c r="B17" s="11" t="s">
        <v>18</v>
      </c>
      <c r="C17" s="12">
        <v>3.046604</v>
      </c>
      <c r="D17" s="13">
        <v>8.02</v>
      </c>
      <c r="E17" s="14">
        <f t="shared" si="0"/>
        <v>24</v>
      </c>
      <c r="F17" s="13"/>
      <c r="G17" s="14">
        <f t="shared" si="1"/>
        <v>0</v>
      </c>
      <c r="H17" s="1" t="s">
        <v>11</v>
      </c>
      <c r="I17" s="1" t="s">
        <v>12</v>
      </c>
      <c r="L17" s="14"/>
    </row>
    <row r="18" spans="1:12" ht="42" hidden="1">
      <c r="A18" s="10" t="s">
        <v>19</v>
      </c>
      <c r="B18" s="11" t="s">
        <v>20</v>
      </c>
      <c r="C18" s="12">
        <v>1.07916</v>
      </c>
      <c r="D18" s="13">
        <v>8.17</v>
      </c>
      <c r="E18" s="14">
        <f t="shared" si="0"/>
        <v>9</v>
      </c>
      <c r="F18" s="13"/>
      <c r="G18" s="14">
        <f t="shared" si="1"/>
        <v>0</v>
      </c>
      <c r="H18" s="1" t="s">
        <v>11</v>
      </c>
      <c r="I18" s="1" t="s">
        <v>12</v>
      </c>
      <c r="L18" s="14"/>
    </row>
    <row r="19" spans="1:12" ht="31.5" hidden="1">
      <c r="A19" s="10" t="s">
        <v>21</v>
      </c>
      <c r="B19" s="11" t="s">
        <v>22</v>
      </c>
      <c r="C19" s="12">
        <v>15.912314</v>
      </c>
      <c r="D19" s="13">
        <v>8.53</v>
      </c>
      <c r="E19" s="14">
        <f t="shared" si="0"/>
        <v>136</v>
      </c>
      <c r="F19" s="13"/>
      <c r="G19" s="14">
        <f t="shared" si="1"/>
        <v>0</v>
      </c>
      <c r="H19" s="1" t="s">
        <v>11</v>
      </c>
      <c r="I19" s="1" t="s">
        <v>12</v>
      </c>
      <c r="L19" s="14"/>
    </row>
    <row r="20" spans="1:12" ht="42" hidden="1">
      <c r="A20" s="10" t="s">
        <v>23</v>
      </c>
      <c r="B20" s="11" t="s">
        <v>24</v>
      </c>
      <c r="C20" s="12">
        <v>30.30434</v>
      </c>
      <c r="D20" s="13">
        <v>8.74</v>
      </c>
      <c r="E20" s="14">
        <f t="shared" si="0"/>
        <v>265</v>
      </c>
      <c r="F20" s="13"/>
      <c r="G20" s="14">
        <f t="shared" si="1"/>
        <v>0</v>
      </c>
      <c r="H20" s="1" t="s">
        <v>11</v>
      </c>
      <c r="I20" s="1" t="s">
        <v>12</v>
      </c>
      <c r="L20" s="14"/>
    </row>
    <row r="21" spans="1:12" ht="42" hidden="1">
      <c r="A21" s="10" t="s">
        <v>25</v>
      </c>
      <c r="B21" s="11" t="s">
        <v>26</v>
      </c>
      <c r="C21" s="12">
        <v>2.333925</v>
      </c>
      <c r="D21" s="13">
        <v>8.86</v>
      </c>
      <c r="E21" s="14">
        <f t="shared" si="0"/>
        <v>21</v>
      </c>
      <c r="F21" s="13"/>
      <c r="G21" s="14">
        <f t="shared" si="1"/>
        <v>0</v>
      </c>
      <c r="H21" s="1" t="s">
        <v>11</v>
      </c>
      <c r="I21" s="1" t="s">
        <v>12</v>
      </c>
      <c r="L21" s="14"/>
    </row>
    <row r="22" spans="1:12" ht="42" hidden="1">
      <c r="A22" s="10" t="s">
        <v>27</v>
      </c>
      <c r="B22" s="11" t="s">
        <v>28</v>
      </c>
      <c r="C22" s="12">
        <v>41.0642</v>
      </c>
      <c r="D22" s="13">
        <v>8.97</v>
      </c>
      <c r="E22" s="14">
        <f t="shared" si="0"/>
        <v>368</v>
      </c>
      <c r="F22" s="13"/>
      <c r="G22" s="14">
        <f t="shared" si="1"/>
        <v>0</v>
      </c>
      <c r="H22" s="1" t="s">
        <v>11</v>
      </c>
      <c r="I22" s="1" t="s">
        <v>12</v>
      </c>
      <c r="L22" s="14"/>
    </row>
    <row r="23" spans="1:12" ht="42" hidden="1">
      <c r="A23" s="10" t="s">
        <v>29</v>
      </c>
      <c r="B23" s="11" t="s">
        <v>30</v>
      </c>
      <c r="C23" s="12">
        <v>92.2519305</v>
      </c>
      <c r="D23" s="13">
        <v>9.18</v>
      </c>
      <c r="E23" s="14">
        <f t="shared" si="0"/>
        <v>847</v>
      </c>
      <c r="F23" s="13"/>
      <c r="G23" s="14">
        <f t="shared" si="1"/>
        <v>0</v>
      </c>
      <c r="H23" s="1" t="s">
        <v>11</v>
      </c>
      <c r="I23" s="1" t="s">
        <v>12</v>
      </c>
      <c r="L23" s="14"/>
    </row>
    <row r="24" spans="1:12" ht="42" hidden="1">
      <c r="A24" s="10" t="s">
        <v>31</v>
      </c>
      <c r="B24" s="11" t="s">
        <v>32</v>
      </c>
      <c r="C24" s="12">
        <v>10.930865</v>
      </c>
      <c r="D24" s="13">
        <v>9.51</v>
      </c>
      <c r="E24" s="14">
        <f t="shared" si="0"/>
        <v>104</v>
      </c>
      <c r="F24" s="13"/>
      <c r="G24" s="14">
        <f t="shared" si="1"/>
        <v>0</v>
      </c>
      <c r="H24" s="1" t="s">
        <v>11</v>
      </c>
      <c r="I24" s="1" t="s">
        <v>12</v>
      </c>
      <c r="L24" s="14"/>
    </row>
    <row r="25" spans="1:12" ht="42" hidden="1">
      <c r="A25" s="10" t="s">
        <v>33</v>
      </c>
      <c r="B25" s="11" t="s">
        <v>34</v>
      </c>
      <c r="C25" s="12">
        <v>2.5172</v>
      </c>
      <c r="D25" s="13">
        <v>9.76</v>
      </c>
      <c r="E25" s="14">
        <f t="shared" si="0"/>
        <v>25</v>
      </c>
      <c r="F25" s="13"/>
      <c r="G25" s="14">
        <f t="shared" si="1"/>
        <v>0</v>
      </c>
      <c r="H25" s="1" t="s">
        <v>11</v>
      </c>
      <c r="I25" s="1" t="s">
        <v>12</v>
      </c>
      <c r="L25" s="14"/>
    </row>
    <row r="26" spans="1:8" ht="10.5" hidden="1">
      <c r="A26" s="15"/>
      <c r="B26" s="16" t="s">
        <v>35</v>
      </c>
      <c r="C26" s="17">
        <f>SUMIF(H14:H26,"=s",C14:C26)</f>
        <v>245.43123850000003</v>
      </c>
      <c r="D26" s="15"/>
      <c r="E26" s="18">
        <f>ROUND(SUMIF(H14:H26,"=s",E14:E26),0)</f>
        <v>2162</v>
      </c>
      <c r="F26" s="15"/>
      <c r="G26" s="18">
        <f>ROUND(SUMIF(H14:H26,"=s",G14:G26),0)</f>
        <v>0</v>
      </c>
      <c r="H26" s="1" t="s">
        <v>36</v>
      </c>
    </row>
    <row r="27" ht="10.5" hidden="1"/>
    <row r="28" spans="1:7" ht="10.5" hidden="1">
      <c r="A28" s="8"/>
      <c r="B28" s="9" t="s">
        <v>37</v>
      </c>
      <c r="C28" s="8"/>
      <c r="D28" s="8"/>
      <c r="E28" s="8"/>
      <c r="F28" s="8"/>
      <c r="G28" s="8"/>
    </row>
    <row r="29" ht="10.5" hidden="1"/>
    <row r="30" spans="1:9" ht="31.5" hidden="1">
      <c r="A30" s="10" t="s">
        <v>38</v>
      </c>
      <c r="B30" s="11" t="s">
        <v>39</v>
      </c>
      <c r="C30" s="12">
        <v>3.9286075</v>
      </c>
      <c r="D30" s="13">
        <f>IF(C30=0,0,ROUND(E30/C30,3))</f>
        <v>0</v>
      </c>
      <c r="E30" s="14">
        <f>ROUND(SUMIF(K10:K79,"=mWithZPM",E10:E79),0)</f>
        <v>0</v>
      </c>
      <c r="F30" s="13">
        <f>IF(C30=0,0,ROUND(G30/C30,3))</f>
        <v>0</v>
      </c>
      <c r="G30" s="14">
        <f>ROUND(SUMIF(K10:K79,"=mWithZPM",G10:G79),0)</f>
        <v>0</v>
      </c>
      <c r="H30" s="1" t="s">
        <v>11</v>
      </c>
      <c r="I30" s="1" t="s">
        <v>40</v>
      </c>
    </row>
    <row r="31" ht="10.5" hidden="1"/>
    <row r="32" spans="1:7" ht="10.5" hidden="1">
      <c r="A32" s="8"/>
      <c r="B32" s="9" t="s">
        <v>41</v>
      </c>
      <c r="C32" s="8"/>
      <c r="D32" s="8"/>
      <c r="E32" s="8"/>
      <c r="F32" s="8"/>
      <c r="G32" s="8"/>
    </row>
    <row r="33" ht="10.5" hidden="1"/>
    <row r="34" spans="1:9" ht="10.5" hidden="1">
      <c r="A34" s="37" t="s">
        <v>42</v>
      </c>
      <c r="B34" s="39" t="s">
        <v>43</v>
      </c>
      <c r="C34" s="40">
        <v>0.0995625</v>
      </c>
      <c r="D34" s="19">
        <v>86.4</v>
      </c>
      <c r="E34" s="20">
        <f>ROUND(IF(C34="",0,C34)*IF(D34="",0,D34),0)</f>
        <v>9</v>
      </c>
      <c r="F34" s="19"/>
      <c r="G34" s="20">
        <f>ROUND(IF(C34="",0,C34)*IF(F34="",0,F34),0)</f>
        <v>0</v>
      </c>
      <c r="H34" s="1" t="s">
        <v>11</v>
      </c>
      <c r="I34" s="1" t="s">
        <v>44</v>
      </c>
    </row>
    <row r="35" spans="1:11" ht="33" customHeight="1" hidden="1">
      <c r="A35" s="38"/>
      <c r="B35" s="38"/>
      <c r="C35" s="38"/>
      <c r="D35" s="21"/>
      <c r="E35" s="14">
        <f>ROUND(IF(C34="",0,C34)*IF(D35="",0,D35),0)</f>
        <v>0</v>
      </c>
      <c r="F35" s="21"/>
      <c r="G35" s="14">
        <f>ROUND(IF(C34="",0,C34)*IF(F35="",0,F35),0)</f>
        <v>0</v>
      </c>
      <c r="K35" s="1" t="s">
        <v>45</v>
      </c>
    </row>
    <row r="36" spans="1:9" ht="10.5" hidden="1">
      <c r="A36" s="37" t="s">
        <v>46</v>
      </c>
      <c r="B36" s="39" t="s">
        <v>47</v>
      </c>
      <c r="C36" s="40">
        <v>0.02775</v>
      </c>
      <c r="D36" s="19">
        <v>111.99</v>
      </c>
      <c r="E36" s="20">
        <f>ROUND(IF(C36="",0,C36)*IF(D36="",0,D36),0)</f>
        <v>3</v>
      </c>
      <c r="F36" s="19"/>
      <c r="G36" s="20">
        <f>ROUND(IF(C36="",0,C36)*IF(F36="",0,F36),0)</f>
        <v>0</v>
      </c>
      <c r="H36" s="1" t="s">
        <v>11</v>
      </c>
      <c r="I36" s="1" t="s">
        <v>44</v>
      </c>
    </row>
    <row r="37" spans="1:11" ht="43.5" customHeight="1" hidden="1">
      <c r="A37" s="38"/>
      <c r="B37" s="38"/>
      <c r="C37" s="38"/>
      <c r="D37" s="21"/>
      <c r="E37" s="14">
        <f>ROUND(IF(C36="",0,C36)*IF(D37="",0,D37),0)</f>
        <v>0</v>
      </c>
      <c r="F37" s="21"/>
      <c r="G37" s="14">
        <f>ROUND(IF(C36="",0,C36)*IF(F37="",0,F37),0)</f>
        <v>0</v>
      </c>
      <c r="K37" s="1" t="s">
        <v>45</v>
      </c>
    </row>
    <row r="38" spans="1:9" ht="10.5" hidden="1">
      <c r="A38" s="37" t="s">
        <v>48</v>
      </c>
      <c r="B38" s="39" t="s">
        <v>49</v>
      </c>
      <c r="C38" s="40">
        <v>0.1458</v>
      </c>
      <c r="D38" s="19">
        <v>89.99</v>
      </c>
      <c r="E38" s="20">
        <f>ROUND(IF(C38="",0,C38)*IF(D38="",0,D38),0)</f>
        <v>13</v>
      </c>
      <c r="F38" s="19"/>
      <c r="G38" s="20">
        <f>ROUND(IF(C38="",0,C38)*IF(F38="",0,F38),0)</f>
        <v>0</v>
      </c>
      <c r="H38" s="1" t="s">
        <v>11</v>
      </c>
      <c r="I38" s="1" t="s">
        <v>44</v>
      </c>
    </row>
    <row r="39" spans="1:11" ht="21.75" customHeight="1" hidden="1">
      <c r="A39" s="38"/>
      <c r="B39" s="38"/>
      <c r="C39" s="38"/>
      <c r="D39" s="21"/>
      <c r="E39" s="14">
        <f>ROUND(IF(C38="",0,C38)*IF(D39="",0,D39),0)</f>
        <v>0</v>
      </c>
      <c r="F39" s="21"/>
      <c r="G39" s="14">
        <f>ROUND(IF(C38="",0,C38)*IF(F39="",0,F39),0)</f>
        <v>0</v>
      </c>
      <c r="K39" s="1" t="s">
        <v>45</v>
      </c>
    </row>
    <row r="40" spans="1:9" ht="10.5" hidden="1">
      <c r="A40" s="37" t="s">
        <v>50</v>
      </c>
      <c r="B40" s="39" t="s">
        <v>51</v>
      </c>
      <c r="C40" s="40">
        <v>1.658775</v>
      </c>
      <c r="D40" s="19">
        <v>31.26</v>
      </c>
      <c r="E40" s="20">
        <f>ROUND(IF(C40="",0,C40)*IF(D40="",0,D40),0)</f>
        <v>52</v>
      </c>
      <c r="F40" s="19"/>
      <c r="G40" s="20">
        <f>ROUND(IF(C40="",0,C40)*IF(F40="",0,F40),0)</f>
        <v>0</v>
      </c>
      <c r="H40" s="1" t="s">
        <v>11</v>
      </c>
      <c r="I40" s="1" t="s">
        <v>44</v>
      </c>
    </row>
    <row r="41" spans="1:11" ht="33" customHeight="1" hidden="1">
      <c r="A41" s="38"/>
      <c r="B41" s="38"/>
      <c r="C41" s="38"/>
      <c r="D41" s="21"/>
      <c r="E41" s="14">
        <f>ROUND(IF(C40="",0,C40)*IF(D41="",0,D41),0)</f>
        <v>0</v>
      </c>
      <c r="F41" s="21"/>
      <c r="G41" s="14">
        <f>ROUND(IF(C40="",0,C40)*IF(F41="",0,F41),0)</f>
        <v>0</v>
      </c>
      <c r="K41" s="1" t="s">
        <v>45</v>
      </c>
    </row>
    <row r="42" spans="1:9" ht="10.5" hidden="1">
      <c r="A42" s="37" t="s">
        <v>52</v>
      </c>
      <c r="B42" s="39" t="s">
        <v>53</v>
      </c>
      <c r="C42" s="40">
        <v>0.80722</v>
      </c>
      <c r="D42" s="19">
        <v>90</v>
      </c>
      <c r="E42" s="20">
        <f>ROUND(IF(C42="",0,C42)*IF(D42="",0,D42),0)</f>
        <v>73</v>
      </c>
      <c r="F42" s="19"/>
      <c r="G42" s="20">
        <f>ROUND(IF(C42="",0,C42)*IF(F42="",0,F42),0)</f>
        <v>0</v>
      </c>
      <c r="H42" s="1" t="s">
        <v>11</v>
      </c>
      <c r="I42" s="1" t="s">
        <v>44</v>
      </c>
    </row>
    <row r="43" spans="1:11" ht="54.75" customHeight="1" hidden="1">
      <c r="A43" s="38"/>
      <c r="B43" s="38"/>
      <c r="C43" s="38"/>
      <c r="D43" s="21"/>
      <c r="E43" s="14">
        <f>ROUND(IF(C42="",0,C42)*IF(D43="",0,D43),0)</f>
        <v>0</v>
      </c>
      <c r="F43" s="21"/>
      <c r="G43" s="14">
        <f>ROUND(IF(C42="",0,C42)*IF(F43="",0,F43),0)</f>
        <v>0</v>
      </c>
      <c r="K43" s="1" t="s">
        <v>45</v>
      </c>
    </row>
    <row r="44" spans="1:9" ht="10.5" hidden="1">
      <c r="A44" s="37" t="s">
        <v>54</v>
      </c>
      <c r="B44" s="39" t="s">
        <v>55</v>
      </c>
      <c r="C44" s="40">
        <v>1.1895</v>
      </c>
      <c r="D44" s="19">
        <v>12.39</v>
      </c>
      <c r="E44" s="20">
        <f>ROUND(IF(C44="",0,C44)*IF(D44="",0,D44),0)</f>
        <v>15</v>
      </c>
      <c r="F44" s="19"/>
      <c r="G44" s="20">
        <f>ROUND(IF(C44="",0,C44)*IF(F44="",0,F44),0)</f>
        <v>0</v>
      </c>
      <c r="H44" s="1" t="s">
        <v>11</v>
      </c>
      <c r="I44" s="1" t="s">
        <v>44</v>
      </c>
    </row>
    <row r="45" spans="1:11" ht="33" customHeight="1" hidden="1">
      <c r="A45" s="38"/>
      <c r="B45" s="38"/>
      <c r="C45" s="38"/>
      <c r="D45" s="21"/>
      <c r="E45" s="14">
        <f>ROUND(IF(C44="",0,C44)*IF(D45="",0,D45),0)</f>
        <v>0</v>
      </c>
      <c r="F45" s="21"/>
      <c r="G45" s="14">
        <f>ROUND(IF(C44="",0,C44)*IF(F45="",0,F45),0)</f>
        <v>0</v>
      </c>
      <c r="K45" s="1" t="s">
        <v>45</v>
      </c>
    </row>
    <row r="46" spans="1:9" ht="31.5" hidden="1">
      <c r="A46" s="10" t="s">
        <v>56</v>
      </c>
      <c r="B46" s="11" t="s">
        <v>57</v>
      </c>
      <c r="C46" s="12">
        <v>2.49425</v>
      </c>
      <c r="D46" s="21">
        <v>0.5</v>
      </c>
      <c r="E46" s="14">
        <f aca="true" t="shared" si="2" ref="E46:E51">ROUND(IF(C46="",0,C46)*IF(D46="",0,D46),0)</f>
        <v>1</v>
      </c>
      <c r="F46" s="21"/>
      <c r="G46" s="14">
        <f aca="true" t="shared" si="3" ref="G46:G51">ROUND(IF(C46="",0,C46)*IF(F46="",0,F46),0)</f>
        <v>0</v>
      </c>
      <c r="H46" s="1" t="s">
        <v>11</v>
      </c>
      <c r="I46" s="1" t="s">
        <v>44</v>
      </c>
    </row>
    <row r="47" spans="1:9" ht="31.5" hidden="1">
      <c r="A47" s="10" t="s">
        <v>58</v>
      </c>
      <c r="B47" s="11" t="s">
        <v>59</v>
      </c>
      <c r="C47" s="12">
        <v>0.044625</v>
      </c>
      <c r="D47" s="21">
        <v>30</v>
      </c>
      <c r="E47" s="14">
        <f t="shared" si="2"/>
        <v>1</v>
      </c>
      <c r="F47" s="21"/>
      <c r="G47" s="14">
        <f t="shared" si="3"/>
        <v>0</v>
      </c>
      <c r="H47" s="1" t="s">
        <v>11</v>
      </c>
      <c r="I47" s="1" t="s">
        <v>44</v>
      </c>
    </row>
    <row r="48" spans="1:9" ht="31.5" hidden="1">
      <c r="A48" s="10" t="s">
        <v>60</v>
      </c>
      <c r="B48" s="11" t="s">
        <v>61</v>
      </c>
      <c r="C48" s="12">
        <v>0.1906875</v>
      </c>
      <c r="D48" s="21">
        <v>3</v>
      </c>
      <c r="E48" s="14">
        <f t="shared" si="2"/>
        <v>1</v>
      </c>
      <c r="F48" s="21"/>
      <c r="G48" s="14">
        <f t="shared" si="3"/>
        <v>0</v>
      </c>
      <c r="H48" s="1" t="s">
        <v>11</v>
      </c>
      <c r="I48" s="1" t="s">
        <v>44</v>
      </c>
    </row>
    <row r="49" spans="1:9" ht="52.5" hidden="1">
      <c r="A49" s="10" t="s">
        <v>62</v>
      </c>
      <c r="B49" s="11" t="s">
        <v>63</v>
      </c>
      <c r="C49" s="12">
        <v>1.61434</v>
      </c>
      <c r="D49" s="21">
        <v>1.53</v>
      </c>
      <c r="E49" s="14">
        <f t="shared" si="2"/>
        <v>2</v>
      </c>
      <c r="F49" s="21"/>
      <c r="G49" s="14">
        <f t="shared" si="3"/>
        <v>0</v>
      </c>
      <c r="H49" s="1" t="s">
        <v>11</v>
      </c>
      <c r="I49" s="1" t="s">
        <v>44</v>
      </c>
    </row>
    <row r="50" spans="1:9" ht="31.5" hidden="1">
      <c r="A50" s="10" t="s">
        <v>64</v>
      </c>
      <c r="B50" s="11" t="s">
        <v>65</v>
      </c>
      <c r="C50" s="12">
        <v>0.010725</v>
      </c>
      <c r="D50" s="21">
        <v>0.95</v>
      </c>
      <c r="E50" s="14">
        <f t="shared" si="2"/>
        <v>0</v>
      </c>
      <c r="F50" s="21"/>
      <c r="G50" s="14">
        <f t="shared" si="3"/>
        <v>0</v>
      </c>
      <c r="H50" s="1" t="s">
        <v>11</v>
      </c>
      <c r="I50" s="1" t="s">
        <v>44</v>
      </c>
    </row>
    <row r="51" spans="1:9" ht="10.5" hidden="1">
      <c r="A51" s="37" t="s">
        <v>66</v>
      </c>
      <c r="B51" s="39" t="s">
        <v>67</v>
      </c>
      <c r="C51" s="40">
        <v>0.357525</v>
      </c>
      <c r="D51" s="19">
        <v>87.17</v>
      </c>
      <c r="E51" s="20">
        <f t="shared" si="2"/>
        <v>31</v>
      </c>
      <c r="F51" s="19"/>
      <c r="G51" s="20">
        <f t="shared" si="3"/>
        <v>0</v>
      </c>
      <c r="H51" s="1" t="s">
        <v>11</v>
      </c>
      <c r="I51" s="1" t="s">
        <v>44</v>
      </c>
    </row>
    <row r="52" spans="1:7" ht="33" customHeight="1" hidden="1">
      <c r="A52" s="38"/>
      <c r="B52" s="38"/>
      <c r="C52" s="38"/>
      <c r="D52" s="21">
        <v>11.6</v>
      </c>
      <c r="E52" s="14">
        <f>ROUND(IF(C51="",0,C51)*IF(D52="",0,D52),0)</f>
        <v>4</v>
      </c>
      <c r="F52" s="21"/>
      <c r="G52" s="14">
        <f>ROUND(IF(C51="",0,C51)*IF(F52="",0,F52),0)</f>
        <v>0</v>
      </c>
    </row>
    <row r="53" spans="1:8" ht="10.5" hidden="1">
      <c r="A53" s="15"/>
      <c r="B53" s="16" t="s">
        <v>35</v>
      </c>
      <c r="C53" s="15"/>
      <c r="D53" s="15"/>
      <c r="E53" s="18">
        <f>ROUND(SUMIF(H34:H53,"=s",E34:E53),0)</f>
        <v>201</v>
      </c>
      <c r="F53" s="15"/>
      <c r="G53" s="18">
        <f>ROUND(SUMIF(H34:H53,"=s",G34:G53),0)</f>
        <v>0</v>
      </c>
      <c r="H53" s="1" t="s">
        <v>36</v>
      </c>
    </row>
    <row r="54" ht="10.5" hidden="1"/>
    <row r="55" spans="1:7" ht="10.5">
      <c r="A55" s="8"/>
      <c r="B55" s="9" t="s">
        <v>68</v>
      </c>
      <c r="C55" s="8"/>
      <c r="D55" s="8"/>
      <c r="E55" s="8"/>
      <c r="F55" s="8"/>
      <c r="G55" s="8"/>
    </row>
    <row r="57" spans="1:9" ht="42">
      <c r="A57" s="26" t="s">
        <v>133</v>
      </c>
      <c r="B57" s="25" t="s">
        <v>124</v>
      </c>
      <c r="C57" s="12">
        <v>46.8</v>
      </c>
      <c r="D57" s="21">
        <v>71.19</v>
      </c>
      <c r="E57" s="14">
        <f aca="true" t="shared" si="4" ref="E57:E78">ROUND(IF(C57="",0,C57)*IF(D57="",0,D57),0)</f>
        <v>3332</v>
      </c>
      <c r="F57" s="21">
        <v>400</v>
      </c>
      <c r="G57" s="14">
        <f aca="true" t="shared" si="5" ref="G57:G78">ROUND(IF(C57="",0,C57)*IF(F57="",0,F57),0)</f>
        <v>18720</v>
      </c>
      <c r="H57" s="1" t="s">
        <v>11</v>
      </c>
      <c r="I57" s="1" t="s">
        <v>69</v>
      </c>
    </row>
    <row r="58" spans="1:9" ht="31.5">
      <c r="A58" s="26" t="s">
        <v>134</v>
      </c>
      <c r="B58" s="25" t="s">
        <v>125</v>
      </c>
      <c r="C58" s="12">
        <f>0.00123+0.000135</f>
        <v>0.001365</v>
      </c>
      <c r="D58" s="21">
        <v>15707</v>
      </c>
      <c r="E58" s="14">
        <f t="shared" si="4"/>
        <v>21</v>
      </c>
      <c r="F58" s="21">
        <v>70367.36</v>
      </c>
      <c r="G58" s="14">
        <f t="shared" si="5"/>
        <v>96</v>
      </c>
      <c r="H58" s="1" t="s">
        <v>11</v>
      </c>
      <c r="I58" s="1" t="s">
        <v>69</v>
      </c>
    </row>
    <row r="59" spans="1:9" ht="42">
      <c r="A59" s="26" t="s">
        <v>135</v>
      </c>
      <c r="B59" s="11" t="s">
        <v>70</v>
      </c>
      <c r="C59" s="12">
        <v>0.000171</v>
      </c>
      <c r="D59" s="21">
        <v>12430</v>
      </c>
      <c r="E59" s="14">
        <f t="shared" si="4"/>
        <v>2</v>
      </c>
      <c r="F59" s="21">
        <v>55686.4</v>
      </c>
      <c r="G59" s="14">
        <f t="shared" si="5"/>
        <v>10</v>
      </c>
      <c r="H59" s="1" t="s">
        <v>11</v>
      </c>
      <c r="I59" s="1" t="s">
        <v>69</v>
      </c>
    </row>
    <row r="60" spans="1:9" ht="42">
      <c r="A60" s="26" t="s">
        <v>136</v>
      </c>
      <c r="B60" s="11" t="s">
        <v>71</v>
      </c>
      <c r="C60" s="12">
        <v>9.088</v>
      </c>
      <c r="D60" s="21">
        <v>72.32</v>
      </c>
      <c r="E60" s="14">
        <f t="shared" si="4"/>
        <v>657</v>
      </c>
      <c r="F60" s="21">
        <v>323.99</v>
      </c>
      <c r="G60" s="14">
        <f t="shared" si="5"/>
        <v>2944</v>
      </c>
      <c r="H60" s="1" t="s">
        <v>11</v>
      </c>
      <c r="I60" s="1" t="s">
        <v>69</v>
      </c>
    </row>
    <row r="61" spans="1:9" ht="31.5">
      <c r="A61" s="26" t="s">
        <v>137</v>
      </c>
      <c r="B61" s="25" t="s">
        <v>126</v>
      </c>
      <c r="C61" s="12">
        <f>0.02125+0.03709</f>
        <v>0.05834</v>
      </c>
      <c r="D61" s="21">
        <v>2750</v>
      </c>
      <c r="E61" s="14">
        <f t="shared" si="4"/>
        <v>160</v>
      </c>
      <c r="F61" s="21">
        <v>12320</v>
      </c>
      <c r="G61" s="14">
        <f t="shared" si="5"/>
        <v>719</v>
      </c>
      <c r="H61" s="1" t="s">
        <v>11</v>
      </c>
      <c r="I61" s="1" t="s">
        <v>69</v>
      </c>
    </row>
    <row r="62" spans="1:9" ht="31.5">
      <c r="A62" s="26" t="s">
        <v>138</v>
      </c>
      <c r="B62" s="11" t="s">
        <v>72</v>
      </c>
      <c r="C62" s="12">
        <v>0.6922</v>
      </c>
      <c r="D62" s="21">
        <v>1.82</v>
      </c>
      <c r="E62" s="14">
        <f t="shared" si="4"/>
        <v>1</v>
      </c>
      <c r="F62" s="21">
        <v>8.15</v>
      </c>
      <c r="G62" s="14">
        <f t="shared" si="5"/>
        <v>6</v>
      </c>
      <c r="H62" s="1" t="s">
        <v>11</v>
      </c>
      <c r="I62" s="1" t="s">
        <v>69</v>
      </c>
    </row>
    <row r="63" spans="1:9" ht="31.5">
      <c r="A63" s="26" t="s">
        <v>139</v>
      </c>
      <c r="B63" s="25" t="s">
        <v>127</v>
      </c>
      <c r="C63" s="12">
        <f>0.1755+0.099</f>
        <v>0.27449999999999997</v>
      </c>
      <c r="D63" s="21">
        <v>4090</v>
      </c>
      <c r="E63" s="14">
        <f t="shared" si="4"/>
        <v>1123</v>
      </c>
      <c r="F63" s="21">
        <v>18323.2</v>
      </c>
      <c r="G63" s="14">
        <f t="shared" si="5"/>
        <v>5030</v>
      </c>
      <c r="H63" s="1" t="s">
        <v>11</v>
      </c>
      <c r="I63" s="1" t="s">
        <v>69</v>
      </c>
    </row>
    <row r="64" spans="1:9" ht="31.5">
      <c r="A64" s="26" t="s">
        <v>140</v>
      </c>
      <c r="B64" s="11" t="s">
        <v>73</v>
      </c>
      <c r="C64" s="12">
        <v>0.0001716</v>
      </c>
      <c r="D64" s="21">
        <v>11978</v>
      </c>
      <c r="E64" s="14">
        <f t="shared" si="4"/>
        <v>2</v>
      </c>
      <c r="F64" s="21">
        <v>37968</v>
      </c>
      <c r="G64" s="14">
        <f t="shared" si="5"/>
        <v>7</v>
      </c>
      <c r="H64" s="1" t="s">
        <v>11</v>
      </c>
      <c r="I64" s="1" t="s">
        <v>69</v>
      </c>
    </row>
    <row r="65" spans="1:9" ht="42">
      <c r="A65" s="26" t="s">
        <v>141</v>
      </c>
      <c r="B65" s="11" t="s">
        <v>74</v>
      </c>
      <c r="C65" s="12">
        <v>0.003465</v>
      </c>
      <c r="D65" s="21">
        <v>84600</v>
      </c>
      <c r="E65" s="14">
        <f t="shared" si="4"/>
        <v>293</v>
      </c>
      <c r="F65" s="21">
        <v>379008</v>
      </c>
      <c r="G65" s="14">
        <f t="shared" si="5"/>
        <v>1313</v>
      </c>
      <c r="H65" s="1" t="s">
        <v>11</v>
      </c>
      <c r="I65" s="1" t="s">
        <v>69</v>
      </c>
    </row>
    <row r="66" spans="1:9" ht="31.5">
      <c r="A66" s="26" t="s">
        <v>142</v>
      </c>
      <c r="B66" s="11" t="s">
        <v>75</v>
      </c>
      <c r="C66" s="12">
        <v>0.04605</v>
      </c>
      <c r="D66" s="21">
        <v>15481</v>
      </c>
      <c r="E66" s="14">
        <f t="shared" si="4"/>
        <v>713</v>
      </c>
      <c r="F66" s="21">
        <v>69354.88</v>
      </c>
      <c r="G66" s="14">
        <f t="shared" si="5"/>
        <v>3194</v>
      </c>
      <c r="H66" s="1" t="s">
        <v>11</v>
      </c>
      <c r="I66" s="1" t="s">
        <v>69</v>
      </c>
    </row>
    <row r="67" spans="1:9" ht="31.5">
      <c r="A67" s="26" t="s">
        <v>143</v>
      </c>
      <c r="B67" s="25" t="s">
        <v>128</v>
      </c>
      <c r="C67" s="12">
        <v>0.0344</v>
      </c>
      <c r="D67" s="21">
        <v>6513</v>
      </c>
      <c r="E67" s="14">
        <f t="shared" si="4"/>
        <v>224</v>
      </c>
      <c r="F67" s="21">
        <v>29178.24</v>
      </c>
      <c r="G67" s="14">
        <f t="shared" si="5"/>
        <v>1004</v>
      </c>
      <c r="H67" s="1" t="s">
        <v>11</v>
      </c>
      <c r="I67" s="1" t="s">
        <v>69</v>
      </c>
    </row>
    <row r="68" spans="1:9" ht="52.5">
      <c r="A68" s="26" t="s">
        <v>144</v>
      </c>
      <c r="B68" s="11" t="s">
        <v>76</v>
      </c>
      <c r="C68" s="12">
        <v>1.9954</v>
      </c>
      <c r="D68" s="21">
        <v>72.8</v>
      </c>
      <c r="E68" s="14">
        <f t="shared" si="4"/>
        <v>145</v>
      </c>
      <c r="F68" s="21">
        <v>326.14</v>
      </c>
      <c r="G68" s="14">
        <f t="shared" si="5"/>
        <v>651</v>
      </c>
      <c r="H68" s="1" t="s">
        <v>11</v>
      </c>
      <c r="I68" s="1" t="s">
        <v>69</v>
      </c>
    </row>
    <row r="69" spans="1:9" ht="31.5">
      <c r="A69" s="26" t="s">
        <v>145</v>
      </c>
      <c r="B69" s="11" t="s">
        <v>77</v>
      </c>
      <c r="C69" s="12">
        <v>0.99</v>
      </c>
      <c r="D69" s="21">
        <v>15.9</v>
      </c>
      <c r="E69" s="14">
        <f t="shared" si="4"/>
        <v>16</v>
      </c>
      <c r="F69" s="21">
        <v>71.23</v>
      </c>
      <c r="G69" s="14">
        <f t="shared" si="5"/>
        <v>71</v>
      </c>
      <c r="H69" s="1" t="s">
        <v>11</v>
      </c>
      <c r="I69" s="1" t="s">
        <v>69</v>
      </c>
    </row>
    <row r="70" spans="1:9" ht="42">
      <c r="A70" s="26" t="s">
        <v>146</v>
      </c>
      <c r="B70" s="11" t="s">
        <v>78</v>
      </c>
      <c r="C70" s="12">
        <v>3.09</v>
      </c>
      <c r="D70" s="21">
        <v>25.5</v>
      </c>
      <c r="E70" s="14">
        <f t="shared" si="4"/>
        <v>79</v>
      </c>
      <c r="F70" s="21">
        <v>116.67</v>
      </c>
      <c r="G70" s="14">
        <f t="shared" si="5"/>
        <v>361</v>
      </c>
      <c r="H70" s="1" t="s">
        <v>11</v>
      </c>
      <c r="I70" s="1" t="s">
        <v>69</v>
      </c>
    </row>
    <row r="71" spans="1:9" ht="42">
      <c r="A71" s="26" t="s">
        <v>147</v>
      </c>
      <c r="B71" s="11" t="s">
        <v>79</v>
      </c>
      <c r="C71" s="12">
        <v>2.2</v>
      </c>
      <c r="D71" s="21">
        <v>365.72</v>
      </c>
      <c r="E71" s="14">
        <f t="shared" si="4"/>
        <v>805</v>
      </c>
      <c r="F71" s="21">
        <v>820</v>
      </c>
      <c r="G71" s="14">
        <f t="shared" si="5"/>
        <v>1804</v>
      </c>
      <c r="H71" s="1" t="s">
        <v>11</v>
      </c>
      <c r="I71" s="1" t="s">
        <v>69</v>
      </c>
    </row>
    <row r="72" spans="1:9" ht="42">
      <c r="A72" s="26" t="s">
        <v>148</v>
      </c>
      <c r="B72" s="11" t="s">
        <v>80</v>
      </c>
      <c r="C72" s="12">
        <v>22.44</v>
      </c>
      <c r="D72" s="21">
        <v>77.78</v>
      </c>
      <c r="E72" s="14">
        <f t="shared" si="4"/>
        <v>1745</v>
      </c>
      <c r="F72" s="21">
        <v>348.45</v>
      </c>
      <c r="G72" s="14">
        <f t="shared" si="5"/>
        <v>7819</v>
      </c>
      <c r="H72" s="1" t="s">
        <v>11</v>
      </c>
      <c r="I72" s="1" t="s">
        <v>69</v>
      </c>
    </row>
    <row r="73" spans="1:9" ht="31.5">
      <c r="A73" s="26" t="s">
        <v>149</v>
      </c>
      <c r="B73" s="25" t="s">
        <v>129</v>
      </c>
      <c r="C73" s="12">
        <v>0.0002937</v>
      </c>
      <c r="D73" s="21">
        <v>5991.2</v>
      </c>
      <c r="E73" s="14">
        <f t="shared" si="4"/>
        <v>2</v>
      </c>
      <c r="F73" s="21">
        <v>26840.58</v>
      </c>
      <c r="G73" s="14">
        <f t="shared" si="5"/>
        <v>8</v>
      </c>
      <c r="H73" s="1" t="s">
        <v>11</v>
      </c>
      <c r="I73" s="1" t="s">
        <v>69</v>
      </c>
    </row>
    <row r="74" spans="1:9" ht="31.5">
      <c r="A74" s="26" t="s">
        <v>150</v>
      </c>
      <c r="B74" s="11" t="s">
        <v>81</v>
      </c>
      <c r="C74" s="12">
        <v>8.8</v>
      </c>
      <c r="D74" s="21">
        <v>0.5</v>
      </c>
      <c r="E74" s="14">
        <f t="shared" si="4"/>
        <v>4</v>
      </c>
      <c r="F74" s="21">
        <v>2.24</v>
      </c>
      <c r="G74" s="14">
        <f t="shared" si="5"/>
        <v>20</v>
      </c>
      <c r="H74" s="1" t="s">
        <v>11</v>
      </c>
      <c r="I74" s="1" t="s">
        <v>69</v>
      </c>
    </row>
    <row r="75" spans="1:9" ht="31.5">
      <c r="A75" s="26" t="s">
        <v>151</v>
      </c>
      <c r="B75" s="11" t="s">
        <v>82</v>
      </c>
      <c r="C75" s="12">
        <v>28</v>
      </c>
      <c r="D75" s="21">
        <v>3.15</v>
      </c>
      <c r="E75" s="14">
        <f t="shared" si="4"/>
        <v>88</v>
      </c>
      <c r="F75" s="21">
        <v>14.11</v>
      </c>
      <c r="G75" s="14">
        <f t="shared" si="5"/>
        <v>395</v>
      </c>
      <c r="H75" s="1" t="s">
        <v>11</v>
      </c>
      <c r="I75" s="1" t="s">
        <v>69</v>
      </c>
    </row>
    <row r="76" spans="1:9" ht="31.5">
      <c r="A76" s="26" t="s">
        <v>152</v>
      </c>
      <c r="B76" s="25" t="s">
        <v>130</v>
      </c>
      <c r="C76" s="12">
        <v>1.5</v>
      </c>
      <c r="D76" s="21">
        <v>410</v>
      </c>
      <c r="E76" s="14">
        <f t="shared" si="4"/>
        <v>615</v>
      </c>
      <c r="F76" s="21">
        <v>550</v>
      </c>
      <c r="G76" s="14">
        <f t="shared" si="5"/>
        <v>825</v>
      </c>
      <c r="H76" s="1" t="s">
        <v>11</v>
      </c>
      <c r="I76" s="1" t="s">
        <v>69</v>
      </c>
    </row>
    <row r="77" spans="1:9" ht="31.5">
      <c r="A77" s="26" t="s">
        <v>153</v>
      </c>
      <c r="B77" s="25" t="s">
        <v>131</v>
      </c>
      <c r="C77" s="12">
        <v>13.44</v>
      </c>
      <c r="D77" s="21">
        <v>6.3</v>
      </c>
      <c r="E77" s="14">
        <f t="shared" si="4"/>
        <v>85</v>
      </c>
      <c r="F77" s="21">
        <v>41</v>
      </c>
      <c r="G77" s="14">
        <f t="shared" si="5"/>
        <v>551</v>
      </c>
      <c r="H77" s="1" t="s">
        <v>11</v>
      </c>
      <c r="I77" s="1" t="s">
        <v>69</v>
      </c>
    </row>
    <row r="78" spans="1:9" ht="31.5">
      <c r="A78" s="26" t="s">
        <v>154</v>
      </c>
      <c r="B78" s="25" t="s">
        <v>132</v>
      </c>
      <c r="C78" s="12">
        <f>0.4488+0.00207</f>
        <v>0.45087</v>
      </c>
      <c r="D78" s="21">
        <v>483</v>
      </c>
      <c r="E78" s="14">
        <f t="shared" si="4"/>
        <v>218</v>
      </c>
      <c r="F78" s="21">
        <v>2163.84</v>
      </c>
      <c r="G78" s="14">
        <f t="shared" si="5"/>
        <v>976</v>
      </c>
      <c r="H78" s="1" t="s">
        <v>11</v>
      </c>
      <c r="I78" s="1" t="s">
        <v>69</v>
      </c>
    </row>
    <row r="79" spans="1:8" ht="10.5">
      <c r="A79" s="15"/>
      <c r="B79" s="16" t="s">
        <v>35</v>
      </c>
      <c r="C79" s="15"/>
      <c r="D79" s="15"/>
      <c r="E79" s="18">
        <f>ROUND(SUMIF(H57:H79,"=s",E57:E79),0)</f>
        <v>10330</v>
      </c>
      <c r="F79" s="15"/>
      <c r="G79" s="18">
        <f>ROUND(SUMIF(H57:H79,"=s",G57:G79),0)</f>
        <v>46524</v>
      </c>
      <c r="H79" s="1" t="s">
        <v>36</v>
      </c>
    </row>
    <row r="81" spans="2:7" ht="10.5">
      <c r="B81" s="5" t="s">
        <v>83</v>
      </c>
      <c r="E81" s="22">
        <f>ROUND((SUMIF(H11:H80,"=sum",E11:E80)),2)</f>
        <v>12693</v>
      </c>
      <c r="G81" s="22">
        <f>ROUND((SUMIF(H11:H80,"=sum",G11:G80)),2)</f>
        <v>46524</v>
      </c>
    </row>
    <row r="82" spans="2:7" ht="10.5">
      <c r="B82" s="5" t="s">
        <v>84</v>
      </c>
      <c r="D82" s="23">
        <v>4</v>
      </c>
      <c r="E82" s="22">
        <f>ROUND((E81)*D82/100,2)</f>
        <v>507.72</v>
      </c>
      <c r="F82" s="23">
        <v>4</v>
      </c>
      <c r="G82" s="22">
        <f>ROUND((G81)*F82/100,2)</f>
        <v>1860.96</v>
      </c>
    </row>
    <row r="83" spans="2:7" ht="10.5">
      <c r="B83" s="5" t="s">
        <v>85</v>
      </c>
      <c r="E83" s="22">
        <f>ROUND((E81+E82),2)</f>
        <v>13200.72</v>
      </c>
      <c r="G83" s="22">
        <f>ROUND((G81+G82),2)</f>
        <v>48384.96</v>
      </c>
    </row>
    <row r="84" spans="2:7" ht="10.5" hidden="1">
      <c r="B84" s="5" t="s">
        <v>86</v>
      </c>
      <c r="E84" s="22">
        <f>ROUND((SUMIF(I11:I83,"=Г",E11:E83)),2)</f>
        <v>2162</v>
      </c>
      <c r="G84" s="22"/>
    </row>
    <row r="85" spans="2:7" ht="10.5" hidden="1">
      <c r="B85" s="5" t="s">
        <v>87</v>
      </c>
      <c r="E85" s="22"/>
      <c r="G85" s="22"/>
    </row>
    <row r="86" spans="2:7" ht="10.5">
      <c r="B86" s="5" t="s">
        <v>88</v>
      </c>
      <c r="E86" s="22">
        <f>ROUND((E84+E85),2)</f>
        <v>2162</v>
      </c>
      <c r="G86" s="22"/>
    </row>
    <row r="87" spans="2:7" ht="10.5" hidden="1">
      <c r="B87" s="5" t="s">
        <v>89</v>
      </c>
      <c r="E87" s="22">
        <f>ROUND((SUMIF(I11:I86,"=Г",C11:C86)),2)</f>
        <v>245.43</v>
      </c>
      <c r="G87" s="22">
        <f>ROUND((SUMIF(I11:I86,"=Г",C11:C86)),2)-ROUND((SUMIF(I11:I86,"=Г",L11:L86)),2)</f>
        <v>245.43</v>
      </c>
    </row>
    <row r="88" spans="2:7" ht="10.5" hidden="1">
      <c r="B88" s="5" t="s">
        <v>90</v>
      </c>
      <c r="E88" s="22">
        <f>ROUND((SUMIF(I11:I87,"=Ж",C11:C87)),2)</f>
        <v>3.93</v>
      </c>
      <c r="G88" s="22">
        <f>ROUND((SUMIF(I11:I87,"=Ж",C11:C87)),2)</f>
        <v>3.93</v>
      </c>
    </row>
    <row r="89" spans="2:7" ht="10.5" hidden="1">
      <c r="B89" s="5" t="s">
        <v>91</v>
      </c>
      <c r="E89" s="22">
        <f>ROUND((E87+E88),2)</f>
        <v>249.36</v>
      </c>
      <c r="G89" s="22">
        <f>ROUND((G87+G88),2)</f>
        <v>249.36</v>
      </c>
    </row>
    <row r="90" spans="2:7" ht="10.5">
      <c r="B90" s="5" t="s">
        <v>92</v>
      </c>
      <c r="E90" s="22"/>
      <c r="G90" s="22">
        <v>5.65</v>
      </c>
    </row>
    <row r="91" spans="2:7" ht="10.5">
      <c r="B91" s="5" t="s">
        <v>93</v>
      </c>
      <c r="E91" s="22">
        <f>ROUND((SUMIF(I11:I90,"=IsMash",E11:E90)),2)</f>
        <v>201</v>
      </c>
      <c r="G91" s="22"/>
    </row>
    <row r="92" spans="2:7" ht="10.5">
      <c r="B92" s="5" t="s">
        <v>94</v>
      </c>
      <c r="E92" s="22"/>
      <c r="G92" s="22">
        <f>ROUND((G90*E91),2)</f>
        <v>1135.65</v>
      </c>
    </row>
    <row r="93" spans="2:7" ht="10.5">
      <c r="B93" s="5" t="s">
        <v>95</v>
      </c>
      <c r="E93" s="22"/>
      <c r="G93" s="22">
        <v>17850</v>
      </c>
    </row>
    <row r="94" spans="2:7" ht="10.5">
      <c r="B94" s="5" t="s">
        <v>96</v>
      </c>
      <c r="E94" s="22"/>
      <c r="F94" s="23">
        <v>165.5</v>
      </c>
      <c r="G94" s="22">
        <f>ROUND((G93)/F94,2)</f>
        <v>107.85</v>
      </c>
    </row>
    <row r="95" spans="2:7" ht="10.5">
      <c r="B95" s="5" t="s">
        <v>97</v>
      </c>
      <c r="E95" s="22"/>
      <c r="G95" s="22">
        <f>ROUND((G94*G87),2)</f>
        <v>26469.63</v>
      </c>
    </row>
    <row r="96" spans="2:7" ht="10.5">
      <c r="B96" s="5" t="s">
        <v>98</v>
      </c>
      <c r="E96" s="22"/>
      <c r="G96" s="22">
        <f>ROUND((G94*G89),2)</f>
        <v>26893.48</v>
      </c>
    </row>
    <row r="97" spans="2:7" ht="10.5" hidden="1">
      <c r="B97" s="5" t="s">
        <v>99</v>
      </c>
      <c r="E97" s="22">
        <v>1766</v>
      </c>
      <c r="G97" s="22"/>
    </row>
    <row r="98" spans="2:7" ht="10.5" hidden="1">
      <c r="B98" s="5" t="s">
        <v>100</v>
      </c>
      <c r="D98" s="23">
        <v>100</v>
      </c>
      <c r="E98" s="22">
        <f>ROUND((E97)*D98,2)</f>
        <v>176600</v>
      </c>
      <c r="G98" s="22"/>
    </row>
    <row r="99" spans="2:7" ht="10.5" hidden="1">
      <c r="B99" s="5" t="s">
        <v>101</v>
      </c>
      <c r="E99" s="22">
        <v>914</v>
      </c>
      <c r="G99" s="22"/>
    </row>
    <row r="100" spans="2:7" ht="10.5" hidden="1">
      <c r="B100" s="5" t="s">
        <v>102</v>
      </c>
      <c r="D100" s="23">
        <v>100</v>
      </c>
      <c r="E100" s="22">
        <f>ROUND((E99)*D100,2)</f>
        <v>91400</v>
      </c>
      <c r="G100" s="22"/>
    </row>
    <row r="101" spans="2:7" ht="10.5" hidden="1">
      <c r="B101" s="5" t="s">
        <v>103</v>
      </c>
      <c r="E101" s="22">
        <f>ROUND((E98/E86),2)</f>
        <v>81.68</v>
      </c>
      <c r="G101" s="22">
        <f>ROUND((E98/E86),2)</f>
        <v>81.68</v>
      </c>
    </row>
    <row r="102" spans="2:7" ht="10.5" hidden="1">
      <c r="B102" s="5" t="s">
        <v>102</v>
      </c>
      <c r="E102" s="22"/>
      <c r="G102" s="22">
        <f>ROUND((G101*G96),2)</f>
        <v>2196659.45</v>
      </c>
    </row>
    <row r="103" spans="2:7" ht="10.5">
      <c r="B103" s="5" t="s">
        <v>104</v>
      </c>
      <c r="E103" s="22"/>
      <c r="F103" s="23">
        <v>100</v>
      </c>
      <c r="G103" s="22">
        <f>ROUND((G102)/F103,2)</f>
        <v>21966.59</v>
      </c>
    </row>
    <row r="104" spans="2:7" ht="10.5" hidden="1">
      <c r="B104" s="5" t="s">
        <v>105</v>
      </c>
      <c r="E104" s="22">
        <f>ROUND((E100/E86),2)</f>
        <v>42.28</v>
      </c>
      <c r="G104" s="22">
        <f>ROUND((E100/E86),2)</f>
        <v>42.28</v>
      </c>
    </row>
    <row r="105" spans="2:7" ht="10.5" hidden="1">
      <c r="B105" s="5" t="s">
        <v>102</v>
      </c>
      <c r="E105" s="22"/>
      <c r="G105" s="22">
        <f>ROUND((G104*G96),2)</f>
        <v>1137056.33</v>
      </c>
    </row>
    <row r="106" spans="2:7" ht="10.5">
      <c r="B106" s="5" t="s">
        <v>106</v>
      </c>
      <c r="E106" s="22"/>
      <c r="F106" s="23">
        <v>100</v>
      </c>
      <c r="G106" s="22">
        <f>ROUND((G105)/F106,2)</f>
        <v>11370.56</v>
      </c>
    </row>
    <row r="107" spans="2:7" ht="10.5">
      <c r="B107" s="5" t="s">
        <v>107</v>
      </c>
      <c r="E107" s="22"/>
      <c r="G107" s="27">
        <f>ROUND((G92+G83+G95+G103+G106),2)</f>
        <v>109327.39</v>
      </c>
    </row>
    <row r="108" spans="2:7" ht="10.5" hidden="1">
      <c r="B108" s="5" t="s">
        <v>108</v>
      </c>
      <c r="D108" s="23">
        <v>0</v>
      </c>
      <c r="E108" s="22"/>
      <c r="F108" s="23">
        <v>0</v>
      </c>
      <c r="G108" s="27"/>
    </row>
    <row r="109" spans="2:7" ht="10.5" hidden="1">
      <c r="B109" s="5" t="s">
        <v>109</v>
      </c>
      <c r="E109" s="22"/>
      <c r="G109" s="27">
        <f>ROUND((G108+G107),2)</f>
        <v>109327.39</v>
      </c>
    </row>
    <row r="110" spans="2:7" ht="10.5" hidden="1">
      <c r="B110" s="5" t="s">
        <v>110</v>
      </c>
      <c r="D110" s="23">
        <v>0</v>
      </c>
      <c r="E110" s="22"/>
      <c r="F110" s="23">
        <v>0</v>
      </c>
      <c r="G110" s="27"/>
    </row>
    <row r="111" spans="2:7" ht="10.5" hidden="1">
      <c r="B111" s="5" t="s">
        <v>109</v>
      </c>
      <c r="E111" s="22"/>
      <c r="G111" s="27">
        <f>ROUND((G109+G110),2)</f>
        <v>109327.39</v>
      </c>
    </row>
    <row r="112" spans="2:7" ht="10.5" hidden="1">
      <c r="B112" s="5" t="s">
        <v>111</v>
      </c>
      <c r="D112" s="23">
        <v>0</v>
      </c>
      <c r="E112" s="22"/>
      <c r="F112" s="23">
        <v>0</v>
      </c>
      <c r="G112" s="27"/>
    </row>
    <row r="113" spans="2:7" ht="10.5" hidden="1">
      <c r="B113" s="5" t="s">
        <v>109</v>
      </c>
      <c r="E113" s="22"/>
      <c r="G113" s="27">
        <f>ROUND((G111+G112),2)</f>
        <v>109327.39</v>
      </c>
    </row>
    <row r="114" spans="2:7" ht="10.5" hidden="1">
      <c r="B114" s="5" t="s">
        <v>112</v>
      </c>
      <c r="E114" s="22"/>
      <c r="G114" s="27"/>
    </row>
    <row r="115" spans="2:7" ht="10.5" hidden="1">
      <c r="B115" s="5" t="s">
        <v>113</v>
      </c>
      <c r="D115" s="23">
        <v>0</v>
      </c>
      <c r="E115" s="22"/>
      <c r="F115" s="23">
        <v>0</v>
      </c>
      <c r="G115" s="27"/>
    </row>
    <row r="116" spans="2:7" ht="10.5" hidden="1">
      <c r="B116" s="5" t="s">
        <v>114</v>
      </c>
      <c r="D116" s="23">
        <v>0</v>
      </c>
      <c r="E116" s="22"/>
      <c r="F116" s="23">
        <v>0</v>
      </c>
      <c r="G116" s="27"/>
    </row>
    <row r="117" spans="2:7" ht="10.5" hidden="1">
      <c r="B117" s="5" t="s">
        <v>109</v>
      </c>
      <c r="E117" s="22"/>
      <c r="G117" s="27">
        <f>ROUND((G116+G115+G113),2)</f>
        <v>109327.39</v>
      </c>
    </row>
    <row r="118" spans="2:7" ht="10.5" hidden="1">
      <c r="B118" s="5" t="s">
        <v>115</v>
      </c>
      <c r="D118" s="23">
        <v>0</v>
      </c>
      <c r="E118" s="22"/>
      <c r="F118" s="23">
        <v>0</v>
      </c>
      <c r="G118" s="27"/>
    </row>
    <row r="119" spans="2:7" ht="10.5" hidden="1">
      <c r="B119" s="5" t="s">
        <v>116</v>
      </c>
      <c r="E119" s="22"/>
      <c r="G119" s="27">
        <f>ROUND((G118+G117),2)</f>
        <v>109327.39</v>
      </c>
    </row>
    <row r="120" spans="2:7" ht="10.5">
      <c r="B120" s="5" t="s">
        <v>117</v>
      </c>
      <c r="E120" s="22"/>
      <c r="F120" s="23">
        <v>18</v>
      </c>
      <c r="G120" s="27">
        <f>ROUND((G119)*F120/100,2)</f>
        <v>19678.93</v>
      </c>
    </row>
    <row r="121" spans="2:7" ht="10.5">
      <c r="B121" s="5" t="s">
        <v>118</v>
      </c>
      <c r="E121" s="22"/>
      <c r="G121" s="27">
        <f>ROUND((G119+G120),2)</f>
        <v>129006.32</v>
      </c>
    </row>
    <row r="122" spans="2:7" ht="10.5" hidden="1">
      <c r="B122" s="5" t="s">
        <v>119</v>
      </c>
      <c r="D122" s="23">
        <v>0</v>
      </c>
      <c r="E122" s="22"/>
      <c r="F122" s="23">
        <v>0</v>
      </c>
      <c r="G122" s="22"/>
    </row>
    <row r="123" spans="2:7" ht="10.5" hidden="1">
      <c r="B123" s="5" t="s">
        <v>120</v>
      </c>
      <c r="E123" s="22"/>
      <c r="G123" s="22"/>
    </row>
    <row r="125" spans="2:7" ht="10.5">
      <c r="B125" s="4" t="s">
        <v>121</v>
      </c>
      <c r="C125" s="44"/>
      <c r="D125" s="44"/>
      <c r="E125" s="44"/>
      <c r="F125" s="44"/>
      <c r="G125" s="44"/>
    </row>
    <row r="126" spans="3:9" ht="10.5">
      <c r="C126" s="45" t="s">
        <v>122</v>
      </c>
      <c r="D126" s="45"/>
      <c r="E126" s="45"/>
      <c r="F126" s="45"/>
      <c r="G126" s="45"/>
      <c r="H126" s="45"/>
      <c r="I126" s="45"/>
    </row>
    <row r="128" spans="2:7" ht="10.5">
      <c r="B128" s="4" t="s">
        <v>123</v>
      </c>
      <c r="C128" s="44"/>
      <c r="D128" s="44"/>
      <c r="E128" s="44"/>
      <c r="F128" s="44"/>
      <c r="G128" s="44"/>
    </row>
    <row r="129" spans="3:9" ht="10.5">
      <c r="C129" s="45" t="s">
        <v>122</v>
      </c>
      <c r="D129" s="45"/>
      <c r="E129" s="45"/>
      <c r="F129" s="45"/>
      <c r="G129" s="45"/>
      <c r="H129" s="45"/>
      <c r="I129" s="45"/>
    </row>
    <row r="130" ht="10.5">
      <c r="A130" s="24"/>
    </row>
  </sheetData>
  <mergeCells count="33">
    <mergeCell ref="C125:G125"/>
    <mergeCell ref="C126:I126"/>
    <mergeCell ref="C128:G128"/>
    <mergeCell ref="C129:I129"/>
    <mergeCell ref="A44:A45"/>
    <mergeCell ref="B44:B45"/>
    <mergeCell ref="C44:C45"/>
    <mergeCell ref="A51:A52"/>
    <mergeCell ref="B51:B52"/>
    <mergeCell ref="C51:C52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4:A35"/>
    <mergeCell ref="B34:B35"/>
    <mergeCell ref="C34:C35"/>
    <mergeCell ref="A7:A9"/>
    <mergeCell ref="B7:B9"/>
    <mergeCell ref="C7:C9"/>
    <mergeCell ref="A3:G3"/>
    <mergeCell ref="A4:G4"/>
    <mergeCell ref="A5:G5"/>
    <mergeCell ref="F7:G8"/>
    <mergeCell ref="D7:E8"/>
  </mergeCells>
  <printOptions/>
  <pageMargins left="0.7874015748031495" right="0.39370078740157477" top="0.39370078740157477" bottom="0.39370078740157477" header="0.39370078740157477" footer="0.39370078740157477"/>
  <pageSetup horizontalDpi="600" verticalDpi="600" orientation="portrait" paperSize="9" scale="55" r:id="rId1"/>
  <headerFooter alignWithMargins="0">
    <oddHeader>&amp;LЛот № 1&amp;RПриложение № 1.1. к техническому заданию открытого запроса предложений
 № 63-АХО-08/2012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tender1</cp:lastModifiedBy>
  <cp:lastPrinted>2012-08-10T04:04:42Z</cp:lastPrinted>
  <dcterms:created xsi:type="dcterms:W3CDTF">2012-07-26T06:13:18Z</dcterms:created>
  <dcterms:modified xsi:type="dcterms:W3CDTF">2012-08-10T04:05:26Z</dcterms:modified>
  <cp:category/>
  <cp:version/>
  <cp:contentType/>
  <cp:contentStatus/>
</cp:coreProperties>
</file>