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Рес.см.расчет" sheetId="1" r:id="rId1"/>
  </sheets>
  <definedNames/>
  <calcPr fullCalcOnLoad="1"/>
</workbook>
</file>

<file path=xl/sharedStrings.xml><?xml version="1.0" encoding="utf-8"?>
<sst xmlns="http://schemas.openxmlformats.org/spreadsheetml/2006/main" count="229" uniqueCount="145">
  <si>
    <t>&lt; 129 * 4 * 3 &gt;</t>
  </si>
  <si>
    <t>ПК РИК (вер.1.3.120112) тел./факс (495) 347-33-01</t>
  </si>
  <si>
    <t>Рес.см.расчет</t>
  </si>
  <si>
    <t>ЛОКАЛЬНЫЙ РЕСУРСНЫЙ СМЕТНЫЙ РАСЧЕТ</t>
  </si>
  <si>
    <t>№ пп</t>
  </si>
  <si>
    <t>Код ресурса, Наименование, Единица измерения, (Кол-во механиза-торов)</t>
  </si>
  <si>
    <t>Количество единиц по проектным данным</t>
  </si>
  <si>
    <t>Сметная стоимость в базисных ценах (руб.)</t>
  </si>
  <si>
    <t>Сметная стоимость в текущих ценах (руб.)</t>
  </si>
  <si>
    <t>на ед. изм.</t>
  </si>
  <si>
    <t>общая</t>
  </si>
  <si>
    <t>Затраты труда рабочих-строителей</t>
  </si>
  <si>
    <t>1.</t>
  </si>
  <si>
    <t>З1-1020
Рабочий строитель среднего разряда 2
чел.-ч</t>
  </si>
  <si>
    <t>s</t>
  </si>
  <si>
    <t>Г</t>
  </si>
  <si>
    <t>2.</t>
  </si>
  <si>
    <t>З1-1030
Рабочий строитель среднего разряда 3
чел.-ч</t>
  </si>
  <si>
    <t>3.</t>
  </si>
  <si>
    <t>З1-1033
Рабочий строитель среднего разряда 3,3
чел.-ч</t>
  </si>
  <si>
    <t>4.</t>
  </si>
  <si>
    <t>З1-1034
Рабочий строитель среднего разряда 3,4
чел.-ч</t>
  </si>
  <si>
    <t>5.</t>
  </si>
  <si>
    <t>З1-1035
Рабочий строитель среднего разряда 3,5
чел.-ч</t>
  </si>
  <si>
    <t>6.</t>
  </si>
  <si>
    <t>З1-1037
Рабочий строитель среднего разряда 3,7
чел.-ч</t>
  </si>
  <si>
    <t>7.</t>
  </si>
  <si>
    <t>З1-1039
Рабочий строитель среднего разряда 3,9
чел.-ч</t>
  </si>
  <si>
    <t>8.</t>
  </si>
  <si>
    <t>З000-1001-0;
Рабочие-строители (средний разряд 1.0)
чел.-ч</t>
  </si>
  <si>
    <t>Итого по разделу</t>
  </si>
  <si>
    <t>sum</t>
  </si>
  <si>
    <t>Затраты труда машинистов</t>
  </si>
  <si>
    <t>9.</t>
  </si>
  <si>
    <t>З1000-0001
Затраты труда машинистов
чел.-ч</t>
  </si>
  <si>
    <t>Ж</t>
  </si>
  <si>
    <t>Машины и механизмы</t>
  </si>
  <si>
    <t>10.</t>
  </si>
  <si>
    <t>Х02-0129
Краны башенные при работе на других видах строительства 8 т
маш.-ч(1)</t>
  </si>
  <si>
    <t>IsMash</t>
  </si>
  <si>
    <t>mWithZPM</t>
  </si>
  <si>
    <t>11.</t>
  </si>
  <si>
    <t>Х02-1141
Краны на автомобильном ходу при работе на других видах строительства 10 т
маш.-ч(1)</t>
  </si>
  <si>
    <t>12.</t>
  </si>
  <si>
    <t>Х03-0403
Лебедки электрические тяговым усилием 19,62 кН (2 т)
маш.-ч</t>
  </si>
  <si>
    <t>13.</t>
  </si>
  <si>
    <t>Х12-1011
Котлы битумные передвижные 400 л
маш.-ч</t>
  </si>
  <si>
    <t>14.</t>
  </si>
  <si>
    <t>Х13-4041
Шуруповерт
маш.-ч</t>
  </si>
  <si>
    <t>15.</t>
  </si>
  <si>
    <t>Х33-0206
Дрели электрические
маш.-ч</t>
  </si>
  <si>
    <t>16.</t>
  </si>
  <si>
    <t>Х33-1451
Перфораторы электрические
маш.-ч</t>
  </si>
  <si>
    <t>17.</t>
  </si>
  <si>
    <t>Х33-3602
Электрофен TRIAC, 1,6 кВт
маш.-ч</t>
  </si>
  <si>
    <t>18.</t>
  </si>
  <si>
    <t>Х33-3611
Автомат горячего воздуха "Ляйстер Варимат V", 4,6 кВт
маш.-ч</t>
  </si>
  <si>
    <t>19.</t>
  </si>
  <si>
    <t>Х40-0001
Автомобили бортовые, грузоподъемность до 5 т
маш.-ч(1)</t>
  </si>
  <si>
    <t>20.</t>
  </si>
  <si>
    <t>Х403-1-14;
Перевозка грузов автомобилями-самосвалами (работающими вне карьеров) на расстояние 14 км. (класс груза 1)
т</t>
  </si>
  <si>
    <t>21.</t>
  </si>
  <si>
    <t>Х40-0051-Ф;
Автомобили-самосвалы грузоподъемностью до 7 т
маш.-ч(1)</t>
  </si>
  <si>
    <t>Материальные ресурсы</t>
  </si>
  <si>
    <t>22.</t>
  </si>
  <si>
    <t>С101-2181
Шурупы с полукруглой головкой 5х35 мм
т</t>
  </si>
  <si>
    <t>IsMater</t>
  </si>
  <si>
    <t>С101-2472
Растворитель марки № 646
т</t>
  </si>
  <si>
    <t>С101-3197
Винты самонарезающие остроконечные 4,8х50 мм
100 шт.</t>
  </si>
  <si>
    <t>С104-0312
Плиты теплоизоляционные из экструзионного вспененного полистирола ПЕНОПЛЭКС
м3</t>
  </si>
  <si>
    <t>С201-0822
Планка из стального листа толщиной 1 мм
т</t>
  </si>
  <si>
    <t>С поставщика.
Оцинкованный парапетный фартук
м2</t>
  </si>
  <si>
    <t>С поставщика.
Нащельник из оцинкованной стали
м2</t>
  </si>
  <si>
    <t>С поставщика.
ПВХ металл
м2</t>
  </si>
  <si>
    <t>ИТОГО ПО СМЕТЕ</t>
  </si>
  <si>
    <t>ТРАНСПОРТНЫЕ РАСХОДЫ</t>
  </si>
  <si>
    <t>ИТОГО С ТРАНСПОРТОМ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</si>
  <si>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</si>
  <si>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</si>
  <si>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</si>
  <si>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</si>
  <si>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</si>
  <si>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</si>
  <si>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ТЕКУЩИЙ ИНДЕКС НА МЕХАНИЗМЫ</t>
  </si>
  <si>
    <t>Стоимость механизмов</t>
  </si>
  <si>
    <t>ТЕКУЩАЯ ЭКСПЛ.МАШИН И МЕХАН.</t>
  </si>
  <si>
    <t>Средняя з/пл строителей</t>
  </si>
  <si>
    <t>Часовая ставка</t>
  </si>
  <si>
    <t>ТЕКУЩАЯ З.П. ОСНОВНЫХ РАБОЧИХ</t>
  </si>
  <si>
    <t>ФОНД ОПЛАТЫ ТРУДА</t>
  </si>
  <si>
    <t>Накладные расходы с К=0,85</t>
  </si>
  <si>
    <t>Накладные расходы с К*100 (служеб)</t>
  </si>
  <si>
    <t>Сметная прибыль с К=0,8</t>
  </si>
  <si>
    <t xml:space="preserve">                           служебная строка</t>
  </si>
  <si>
    <t>Средний процент Н.Р.</t>
  </si>
  <si>
    <t>НАКЛАДНЫЕ РАСХОДЫ от ФОТ</t>
  </si>
  <si>
    <t>Средний процент С.П.</t>
  </si>
  <si>
    <t>СМЕТНАЯ ПРИБЫЛЬ от ФОТ</t>
  </si>
  <si>
    <t>ИТОГО С Н.Р. и С.П.</t>
  </si>
  <si>
    <t>ВРЕМЕННЫЕ ЗДАНИЯ И СООРУЖЕНИЯ</t>
  </si>
  <si>
    <t>ИТОГО</t>
  </si>
  <si>
    <t>ЗИМНЕЕ УДОРОЖАНИЕ</t>
  </si>
  <si>
    <t>НЕПРЕДВИДЕННЫЕ ЗАТРАТЫ</t>
  </si>
  <si>
    <t xml:space="preserve">                                        ПРОЧИЕ ЗАТРАТЫ</t>
  </si>
  <si>
    <t>РАЗЪЕЗДНОЙ ХАРАКТЕР РАБОТ</t>
  </si>
  <si>
    <t>ПЕРЕВОЗКА РАБОЧИХ</t>
  </si>
  <si>
    <t>ПСД</t>
  </si>
  <si>
    <t>ИТОГО С ПСД</t>
  </si>
  <si>
    <t>НАЛОГ НА ДОБАВЛЕННУЮ СТОИМОСТЬ</t>
  </si>
  <si>
    <t>ВСЕГО ПО СМЕТЕ</t>
  </si>
  <si>
    <t>Рабочие дни</t>
  </si>
  <si>
    <t>Командировочные</t>
  </si>
  <si>
    <t>Составил:</t>
  </si>
  <si>
    <t>(должность, подпись, Ф.И.О)</t>
  </si>
  <si>
    <t>Проверил:</t>
  </si>
  <si>
    <t>С101-2202
Дюбель-гвоздь
 шт.</t>
  </si>
  <si>
    <t>С101-2388
Герметик пенополиуретановый PU-25, 600 мл
шт.</t>
  </si>
  <si>
    <t>С101-2696
 Полотно нетканое иглопробивное геотекстильное "AVX"
м2</t>
  </si>
  <si>
    <t>С101-2915
Фланец оцинкованный
шт.</t>
  </si>
  <si>
    <t>С101-3176
Мембрана кровельная армированная на основе ПВХ толщиной 1,2 мм ПЛАСТФОИЛ марки F и F NORD
м2</t>
  </si>
  <si>
    <t>С101-4377
Клей полиуретановый 650 мл
шт.</t>
  </si>
  <si>
    <t>С101-4476
Телескопический крепеж
шт.</t>
  </si>
  <si>
    <t>С104-0312
Плиты теплоизоляционные из экструзионного вспененного полистирола ПЕНОПЛЭКС, толщиной 50 мм
м3</t>
  </si>
  <si>
    <t>С206-1341
Рейка алюминиевая  краевая 
м</t>
  </si>
  <si>
    <t>Составлена в  текущих ценах на 07.2012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</si>
  <si>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</si>
  <si>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</si>
  <si>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</si>
  <si>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</si>
  <si>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</si>
  <si>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</si>
  <si>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</si>
  <si>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</si>
  <si>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</si>
  <si>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</si>
  <si>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</si>
  <si>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</si>
  <si>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</si>
  <si>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</si>
  <si>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</si>
  <si>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</si>
  <si>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 устройство кровли из ПВХ мембраны здания ЭХЗ по ул. Семашко, 18</t>
  </si>
  <si>
    <t>Приложение № 1.2.</t>
  </si>
  <si>
    <t xml:space="preserve">                            к Техническому заданию открытого запроса предложений</t>
  </si>
  <si>
    <t>№ 61-АХО-08/2012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</si>
</sst>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;\-#,##0;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53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4" fontId="0" fillId="2" borderId="0" xfId="0" applyFont="1" applyBorder="1" applyAlignment="1">
      <alignment horizontal="right" vertical="top" wrapText="1"/>
    </xf>
    <xf numFmtId="49" fontId="3" fillId="2" borderId="0" xfId="0" applyNumberFormat="1" applyFont="1" applyBorder="1" applyAlignment="1">
      <alignment horizontal="left" vertical="top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6" fontId="0" fillId="0" borderId="0" xfId="0" applyFont="1" applyAlignment="1">
      <alignment horizontal="righ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3" xfId="0" applyNumberFormat="1" applyFont="1" applyAlignment="1">
      <alignment horizontal="left" vertical="top" wrapText="1"/>
    </xf>
    <xf numFmtId="164" fontId="2" fillId="0" borderId="3" xfId="0" applyNumberFormat="1" applyFont="1" applyAlignment="1">
      <alignment horizontal="center" vertical="top" wrapText="1"/>
    </xf>
    <xf numFmtId="167" fontId="2" fillId="0" borderId="3" xfId="0" applyNumberFormat="1" applyFont="1" applyAlignment="1">
      <alignment horizontal="right" vertical="top" wrapText="1"/>
    </xf>
    <xf numFmtId="166" fontId="2" fillId="0" borderId="3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49" fontId="0" fillId="0" borderId="0" xfId="0" applyAlignment="1">
      <alignment horizontal="right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49" fontId="0" fillId="0" borderId="4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49" fontId="0" fillId="0" borderId="11" xfId="0" applyFont="1" applyAlignment="1">
      <alignment horizontal="center" vertical="center" wrapText="1"/>
    </xf>
    <xf numFmtId="49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Alignment="1">
      <alignment horizontal="left" vertical="top"/>
    </xf>
    <xf numFmtId="49" fontId="0" fillId="0" borderId="0" xfId="0" applyFont="1" applyAlignment="1">
      <alignment horizontal="left" vertical="top"/>
    </xf>
    <xf numFmtId="164" fontId="0" fillId="0" borderId="0" xfId="0" applyBorder="1" applyAlignment="1">
      <alignment horizontal="right" vertical="top" wrapText="1"/>
    </xf>
    <xf numFmtId="164" fontId="0" fillId="0" borderId="0" xfId="0" applyFont="1" applyBorder="1" applyAlignment="1">
      <alignment horizontal="right" vertical="top" wrapText="1"/>
    </xf>
    <xf numFmtId="164" fontId="0" fillId="0" borderId="0" xfId="0" applyFont="1" applyBorder="1" applyAlignment="1">
      <alignment horizontal="right" vertical="top" wrapText="1"/>
    </xf>
    <xf numFmtId="164" fontId="0" fillId="0" borderId="0" xfId="0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2"/>
  <sheetViews>
    <sheetView tabSelected="1" workbookViewId="0" topLeftCell="A70">
      <selection activeCell="U117" sqref="U117"/>
    </sheetView>
  </sheetViews>
  <sheetFormatPr defaultColWidth="9.140625" defaultRowHeight="10.5"/>
  <cols>
    <col min="1" max="1" width="6.00390625" style="1" customWidth="1"/>
    <col min="2" max="2" width="36.28125" style="1" customWidth="1"/>
    <col min="3" max="3" width="10.8515625" style="1" customWidth="1"/>
    <col min="4" max="5" width="10.8515625" style="1" hidden="1" customWidth="1"/>
    <col min="6" max="6" width="10.8515625" style="1" customWidth="1"/>
    <col min="7" max="7" width="12.421875" style="1" customWidth="1"/>
    <col min="8" max="16" width="9.140625" style="1" hidden="1" customWidth="1"/>
    <col min="17" max="18" width="9.140625" style="1" customWidth="1"/>
    <col min="19" max="20" width="9.140625" style="1" hidden="1" customWidth="1"/>
    <col min="21" max="16384" width="9.140625" style="1" customWidth="1"/>
  </cols>
  <sheetData>
    <row r="1" spans="2:7" ht="10.5">
      <c r="B1" s="48" t="s">
        <v>142</v>
      </c>
      <c r="C1" s="49"/>
      <c r="D1" s="49"/>
      <c r="E1" s="49"/>
      <c r="F1" s="49"/>
      <c r="G1" s="50"/>
    </row>
    <row r="2" spans="2:7" ht="10.5">
      <c r="B2" s="51" t="s">
        <v>143</v>
      </c>
      <c r="C2" s="29"/>
      <c r="D2" s="29"/>
      <c r="E2" s="29"/>
      <c r="F2" s="29"/>
      <c r="G2" s="30"/>
    </row>
    <row r="3" spans="3:7" ht="10.5">
      <c r="C3" s="51" t="s">
        <v>144</v>
      </c>
      <c r="D3" s="29"/>
      <c r="E3" s="29"/>
      <c r="F3" s="29"/>
      <c r="G3" s="30"/>
    </row>
    <row r="5" spans="1:7" ht="10.5">
      <c r="A5" s="2" t="s">
        <v>0</v>
      </c>
      <c r="C5" s="2" t="s">
        <v>1</v>
      </c>
      <c r="G5" s="3" t="s">
        <v>2</v>
      </c>
    </row>
    <row r="7" spans="1:7" ht="10.5">
      <c r="A7" s="52" t="s">
        <v>3</v>
      </c>
      <c r="B7" s="52"/>
      <c r="C7" s="52"/>
      <c r="D7" s="52"/>
      <c r="E7" s="52"/>
      <c r="F7" s="52"/>
      <c r="G7" s="52"/>
    </row>
    <row r="8" spans="1:7" ht="10.5">
      <c r="A8" s="44" t="s">
        <v>141</v>
      </c>
      <c r="B8" s="45"/>
      <c r="C8" s="45"/>
      <c r="D8" s="45"/>
      <c r="E8" s="45"/>
      <c r="F8" s="45"/>
      <c r="G8" s="45"/>
    </row>
    <row r="9" spans="1:7" ht="10.5">
      <c r="A9" s="46" t="s">
        <v>124</v>
      </c>
      <c r="B9" s="47"/>
      <c r="C9" s="47"/>
      <c r="D9" s="47"/>
      <c r="E9" s="47"/>
      <c r="F9" s="47"/>
      <c r="G9" s="47"/>
    </row>
    <row r="10" ht="4.5" customHeight="1"/>
    <row r="11" spans="1:7" ht="10.5" customHeight="1">
      <c r="A11" s="33" t="s">
        <v>4</v>
      </c>
      <c r="B11" s="33" t="s">
        <v>5</v>
      </c>
      <c r="C11" s="33" t="s">
        <v>6</v>
      </c>
      <c r="D11" s="36" t="s">
        <v>7</v>
      </c>
      <c r="E11" s="37"/>
      <c r="F11" s="36" t="s">
        <v>8</v>
      </c>
      <c r="G11" s="37"/>
    </row>
    <row r="12" spans="1:7" ht="21.75" customHeight="1">
      <c r="A12" s="34"/>
      <c r="B12" s="34"/>
      <c r="C12" s="34"/>
      <c r="D12" s="38"/>
      <c r="E12" s="39"/>
      <c r="F12" s="38"/>
      <c r="G12" s="39"/>
    </row>
    <row r="13" spans="1:7" ht="10.5" customHeight="1">
      <c r="A13" s="35"/>
      <c r="B13" s="35"/>
      <c r="C13" s="35"/>
      <c r="D13" s="6" t="s">
        <v>9</v>
      </c>
      <c r="E13" s="6" t="s">
        <v>10</v>
      </c>
      <c r="F13" s="6" t="s">
        <v>9</v>
      </c>
      <c r="G13" s="6" t="s">
        <v>10</v>
      </c>
    </row>
    <row r="14" spans="1:7" ht="10.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ht="10.5" hidden="1"/>
    <row r="16" spans="1:7" ht="10.5" hidden="1">
      <c r="A16" s="8"/>
      <c r="B16" s="9" t="s">
        <v>11</v>
      </c>
      <c r="C16" s="8"/>
      <c r="D16" s="8"/>
      <c r="E16" s="8"/>
      <c r="F16" s="8"/>
      <c r="G16" s="8"/>
    </row>
    <row r="17" ht="10.5" hidden="1"/>
    <row r="18" spans="1:12" ht="31.5" hidden="1">
      <c r="A18" s="10" t="s">
        <v>12</v>
      </c>
      <c r="B18" s="11" t="s">
        <v>13</v>
      </c>
      <c r="C18" s="12">
        <v>81.966</v>
      </c>
      <c r="D18" s="13">
        <v>7.8</v>
      </c>
      <c r="E18" s="14">
        <f aca="true" t="shared" si="0" ref="E18:E25">ROUND(IF(C18="",0,C18)*IF(D18="",0,D18),0)</f>
        <v>639</v>
      </c>
      <c r="F18" s="13">
        <v>107.85</v>
      </c>
      <c r="G18" s="13"/>
      <c r="H18" s="1" t="s">
        <v>14</v>
      </c>
      <c r="I18" s="1" t="s">
        <v>15</v>
      </c>
      <c r="L18" s="13"/>
    </row>
    <row r="19" spans="1:12" ht="31.5" hidden="1">
      <c r="A19" s="10" t="s">
        <v>16</v>
      </c>
      <c r="B19" s="11" t="s">
        <v>17</v>
      </c>
      <c r="C19" s="12">
        <v>131.8066175</v>
      </c>
      <c r="D19" s="13">
        <v>8.53</v>
      </c>
      <c r="E19" s="14">
        <f t="shared" si="0"/>
        <v>1124</v>
      </c>
      <c r="F19" s="13">
        <v>107.85</v>
      </c>
      <c r="G19" s="13"/>
      <c r="H19" s="1" t="s">
        <v>14</v>
      </c>
      <c r="I19" s="1" t="s">
        <v>15</v>
      </c>
      <c r="L19" s="13"/>
    </row>
    <row r="20" spans="1:12" ht="42" hidden="1">
      <c r="A20" s="10" t="s">
        <v>18</v>
      </c>
      <c r="B20" s="11" t="s">
        <v>19</v>
      </c>
      <c r="C20" s="12">
        <v>34.93815</v>
      </c>
      <c r="D20" s="13">
        <v>8.86</v>
      </c>
      <c r="E20" s="14">
        <f t="shared" si="0"/>
        <v>310</v>
      </c>
      <c r="F20" s="13">
        <v>107.85</v>
      </c>
      <c r="G20" s="13"/>
      <c r="H20" s="1" t="s">
        <v>14</v>
      </c>
      <c r="I20" s="1" t="s">
        <v>15</v>
      </c>
      <c r="L20" s="13"/>
    </row>
    <row r="21" spans="1:12" ht="42" hidden="1">
      <c r="A21" s="10" t="s">
        <v>20</v>
      </c>
      <c r="B21" s="11" t="s">
        <v>21</v>
      </c>
      <c r="C21" s="12">
        <v>29.1285225</v>
      </c>
      <c r="D21" s="13">
        <v>8.97</v>
      </c>
      <c r="E21" s="14">
        <f t="shared" si="0"/>
        <v>261</v>
      </c>
      <c r="F21" s="13">
        <v>107.85</v>
      </c>
      <c r="G21" s="13"/>
      <c r="H21" s="1" t="s">
        <v>14</v>
      </c>
      <c r="I21" s="1" t="s">
        <v>15</v>
      </c>
      <c r="L21" s="13"/>
    </row>
    <row r="22" spans="1:12" ht="42" hidden="1">
      <c r="A22" s="10" t="s">
        <v>22</v>
      </c>
      <c r="B22" s="11" t="s">
        <v>23</v>
      </c>
      <c r="C22" s="12">
        <v>232.645</v>
      </c>
      <c r="D22" s="13">
        <v>9.07</v>
      </c>
      <c r="E22" s="14">
        <f t="shared" si="0"/>
        <v>2110</v>
      </c>
      <c r="F22" s="13">
        <v>107.85</v>
      </c>
      <c r="G22" s="13"/>
      <c r="H22" s="1" t="s">
        <v>14</v>
      </c>
      <c r="I22" s="1" t="s">
        <v>15</v>
      </c>
      <c r="L22" s="13"/>
    </row>
    <row r="23" spans="1:12" ht="42" hidden="1">
      <c r="A23" s="10" t="s">
        <v>24</v>
      </c>
      <c r="B23" s="11" t="s">
        <v>25</v>
      </c>
      <c r="C23" s="12">
        <v>356.4747</v>
      </c>
      <c r="D23" s="13">
        <v>9.29</v>
      </c>
      <c r="E23" s="14">
        <f t="shared" si="0"/>
        <v>3312</v>
      </c>
      <c r="F23" s="13">
        <v>107.85</v>
      </c>
      <c r="G23" s="13"/>
      <c r="H23" s="1" t="s">
        <v>14</v>
      </c>
      <c r="I23" s="1" t="s">
        <v>15</v>
      </c>
      <c r="L23" s="13"/>
    </row>
    <row r="24" spans="1:12" ht="42" hidden="1">
      <c r="A24" s="10" t="s">
        <v>26</v>
      </c>
      <c r="B24" s="11" t="s">
        <v>27</v>
      </c>
      <c r="C24" s="12">
        <v>20.738916</v>
      </c>
      <c r="D24" s="13">
        <v>9.51</v>
      </c>
      <c r="E24" s="14">
        <f t="shared" si="0"/>
        <v>197</v>
      </c>
      <c r="F24" s="13">
        <v>107.85</v>
      </c>
      <c r="G24" s="13"/>
      <c r="H24" s="1" t="s">
        <v>14</v>
      </c>
      <c r="I24" s="1" t="s">
        <v>15</v>
      </c>
      <c r="L24" s="13"/>
    </row>
    <row r="25" spans="1:12" ht="42" hidden="1">
      <c r="A25" s="10" t="s">
        <v>28</v>
      </c>
      <c r="B25" s="11" t="s">
        <v>29</v>
      </c>
      <c r="C25" s="12">
        <v>1.1195826</v>
      </c>
      <c r="D25" s="13">
        <v>7.19</v>
      </c>
      <c r="E25" s="14">
        <f t="shared" si="0"/>
        <v>8</v>
      </c>
      <c r="F25" s="13">
        <v>107.85</v>
      </c>
      <c r="G25" s="13"/>
      <c r="H25" s="1" t="s">
        <v>14</v>
      </c>
      <c r="I25" s="1" t="s">
        <v>15</v>
      </c>
      <c r="L25" s="13"/>
    </row>
    <row r="26" spans="1:8" ht="10.5" hidden="1">
      <c r="A26" s="15"/>
      <c r="B26" s="16" t="s">
        <v>30</v>
      </c>
      <c r="C26" s="17">
        <f>SUMIF(H18:H26,"=s",C18:C26)</f>
        <v>888.8174885999999</v>
      </c>
      <c r="D26" s="15"/>
      <c r="E26" s="18">
        <f>ROUND(SUMIF(H18:H26,"=s",E18:E26),0)</f>
        <v>7961</v>
      </c>
      <c r="F26" s="15"/>
      <c r="G26" s="19">
        <f>ROUND(SUMIF(H18:H26,"=s",G18:G26),2)</f>
        <v>0</v>
      </c>
      <c r="H26" s="1" t="s">
        <v>31</v>
      </c>
    </row>
    <row r="27" ht="10.5" hidden="1"/>
    <row r="28" spans="1:7" ht="10.5" hidden="1">
      <c r="A28" s="8"/>
      <c r="B28" s="9" t="s">
        <v>32</v>
      </c>
      <c r="C28" s="8"/>
      <c r="D28" s="8"/>
      <c r="E28" s="8"/>
      <c r="F28" s="8"/>
      <c r="G28" s="8"/>
    </row>
    <row r="29" ht="10.5" hidden="1"/>
    <row r="30" spans="1:9" ht="31.5" hidden="1">
      <c r="A30" s="10" t="s">
        <v>33</v>
      </c>
      <c r="B30" s="11" t="s">
        <v>34</v>
      </c>
      <c r="C30" s="12">
        <v>3.70389</v>
      </c>
      <c r="D30" s="13">
        <f>IF(C30=0,0,ROUND(E30/C30,2))</f>
        <v>13.5</v>
      </c>
      <c r="E30" s="14">
        <f>ROUND(SUMIF(K14:K71,"=mWithZPM",E14:E71),0)</f>
        <v>50</v>
      </c>
      <c r="F30" s="13">
        <f>IF(C30=0,0,ROUND(G30/C30,2))</f>
        <v>0</v>
      </c>
      <c r="G30" s="13"/>
      <c r="H30" s="1" t="s">
        <v>14</v>
      </c>
      <c r="I30" s="1" t="s">
        <v>35</v>
      </c>
    </row>
    <row r="31" ht="10.5" hidden="1"/>
    <row r="32" spans="1:7" ht="10.5" hidden="1">
      <c r="A32" s="8"/>
      <c r="B32" s="9" t="s">
        <v>36</v>
      </c>
      <c r="C32" s="8"/>
      <c r="D32" s="8"/>
      <c r="E32" s="8"/>
      <c r="F32" s="8"/>
      <c r="G32" s="8"/>
    </row>
    <row r="33" ht="10.5" hidden="1"/>
    <row r="34" spans="1:9" ht="10.5" hidden="1">
      <c r="A34" s="40" t="s">
        <v>37</v>
      </c>
      <c r="B34" s="42" t="s">
        <v>38</v>
      </c>
      <c r="C34" s="43">
        <v>2.2578475</v>
      </c>
      <c r="D34" s="20">
        <v>86.4</v>
      </c>
      <c r="E34" s="21">
        <f>ROUND(IF(C34="",0,C34)*IF(D34="",0,D34),0)</f>
        <v>195</v>
      </c>
      <c r="F34" s="20"/>
      <c r="G34" s="20">
        <f>ROUND(IF(C34="",0,C34)*IF(F34="",0,F34),2)</f>
        <v>0</v>
      </c>
      <c r="H34" s="1" t="s">
        <v>14</v>
      </c>
      <c r="I34" s="1" t="s">
        <v>39</v>
      </c>
    </row>
    <row r="35" spans="1:11" ht="33" customHeight="1" hidden="1">
      <c r="A35" s="41"/>
      <c r="B35" s="41"/>
      <c r="C35" s="41"/>
      <c r="D35" s="13">
        <v>13.5</v>
      </c>
      <c r="E35" s="14">
        <f>ROUND(IF(C34="",0,C34)*IF(D35="",0,D35),0)</f>
        <v>30</v>
      </c>
      <c r="F35" s="13">
        <v>107.85</v>
      </c>
      <c r="G35" s="13"/>
      <c r="K35" s="1" t="s">
        <v>40</v>
      </c>
    </row>
    <row r="36" spans="1:9" ht="10.5" hidden="1">
      <c r="A36" s="40" t="s">
        <v>41</v>
      </c>
      <c r="B36" s="42" t="s">
        <v>42</v>
      </c>
      <c r="C36" s="43">
        <v>1.4460425</v>
      </c>
      <c r="D36" s="20">
        <v>111.99</v>
      </c>
      <c r="E36" s="21">
        <f>ROUND(IF(C36="",0,C36)*IF(D36="",0,D36),0)</f>
        <v>162</v>
      </c>
      <c r="F36" s="20"/>
      <c r="G36" s="20"/>
      <c r="H36" s="1" t="s">
        <v>14</v>
      </c>
      <c r="I36" s="1" t="s">
        <v>39</v>
      </c>
    </row>
    <row r="37" spans="1:11" ht="43.5" customHeight="1" hidden="1">
      <c r="A37" s="41"/>
      <c r="B37" s="41"/>
      <c r="C37" s="41"/>
      <c r="D37" s="13">
        <v>13.5</v>
      </c>
      <c r="E37" s="14">
        <f>ROUND(IF(C36="",0,C36)*IF(D37="",0,D37),0)</f>
        <v>20</v>
      </c>
      <c r="F37" s="13">
        <v>107.85</v>
      </c>
      <c r="G37" s="13"/>
      <c r="K37" s="1" t="s">
        <v>40</v>
      </c>
    </row>
    <row r="38" spans="1:9" ht="42" hidden="1">
      <c r="A38" s="10" t="s">
        <v>43</v>
      </c>
      <c r="B38" s="11" t="s">
        <v>44</v>
      </c>
      <c r="C38" s="12">
        <v>62.17275</v>
      </c>
      <c r="D38" s="13">
        <v>6.66</v>
      </c>
      <c r="E38" s="14">
        <f aca="true" t="shared" si="1" ref="E38:E45">ROUND(IF(C38="",0,C38)*IF(D38="",0,D38),0)</f>
        <v>414</v>
      </c>
      <c r="F38" s="13"/>
      <c r="G38" s="13">
        <f aca="true" t="shared" si="2" ref="G38:G45">ROUND(IF(C38="",0,C38)*IF(F38="",0,F38),2)</f>
        <v>0</v>
      </c>
      <c r="H38" s="1" t="s">
        <v>14</v>
      </c>
      <c r="I38" s="1" t="s">
        <v>39</v>
      </c>
    </row>
    <row r="39" spans="1:9" ht="31.5" hidden="1">
      <c r="A39" s="10" t="s">
        <v>45</v>
      </c>
      <c r="B39" s="11" t="s">
        <v>46</v>
      </c>
      <c r="C39" s="12">
        <v>0.9108</v>
      </c>
      <c r="D39" s="13">
        <v>30</v>
      </c>
      <c r="E39" s="14">
        <f t="shared" si="1"/>
        <v>27</v>
      </c>
      <c r="F39" s="13"/>
      <c r="G39" s="13">
        <f t="shared" si="2"/>
        <v>0</v>
      </c>
      <c r="H39" s="1" t="s">
        <v>14</v>
      </c>
      <c r="I39" s="1" t="s">
        <v>39</v>
      </c>
    </row>
    <row r="40" spans="1:9" ht="31.5" hidden="1">
      <c r="A40" s="10" t="s">
        <v>47</v>
      </c>
      <c r="B40" s="11" t="s">
        <v>48</v>
      </c>
      <c r="C40" s="12">
        <v>6.955125</v>
      </c>
      <c r="D40" s="13">
        <v>3</v>
      </c>
      <c r="E40" s="14">
        <f t="shared" si="1"/>
        <v>21</v>
      </c>
      <c r="F40" s="13"/>
      <c r="G40" s="13">
        <f t="shared" si="2"/>
        <v>0</v>
      </c>
      <c r="H40" s="1" t="s">
        <v>14</v>
      </c>
      <c r="I40" s="1" t="s">
        <v>39</v>
      </c>
    </row>
    <row r="41" spans="1:9" ht="31.5" hidden="1">
      <c r="A41" s="10" t="s">
        <v>49</v>
      </c>
      <c r="B41" s="11" t="s">
        <v>50</v>
      </c>
      <c r="C41" s="12">
        <v>7.6725</v>
      </c>
      <c r="D41" s="13">
        <v>1.95</v>
      </c>
      <c r="E41" s="14">
        <f t="shared" si="1"/>
        <v>15</v>
      </c>
      <c r="F41" s="13"/>
      <c r="G41" s="13">
        <f t="shared" si="2"/>
        <v>0</v>
      </c>
      <c r="H41" s="1" t="s">
        <v>14</v>
      </c>
      <c r="I41" s="1" t="s">
        <v>39</v>
      </c>
    </row>
    <row r="42" spans="1:9" ht="31.5" hidden="1">
      <c r="A42" s="10" t="s">
        <v>51</v>
      </c>
      <c r="B42" s="11" t="s">
        <v>52</v>
      </c>
      <c r="C42" s="12">
        <v>4.176375</v>
      </c>
      <c r="D42" s="13">
        <v>2.08</v>
      </c>
      <c r="E42" s="14">
        <f t="shared" si="1"/>
        <v>9</v>
      </c>
      <c r="F42" s="13"/>
      <c r="G42" s="13">
        <f t="shared" si="2"/>
        <v>0</v>
      </c>
      <c r="H42" s="1" t="s">
        <v>14</v>
      </c>
      <c r="I42" s="1" t="s">
        <v>39</v>
      </c>
    </row>
    <row r="43" spans="1:9" ht="31.5" hidden="1">
      <c r="A43" s="10" t="s">
        <v>53</v>
      </c>
      <c r="B43" s="11" t="s">
        <v>54</v>
      </c>
      <c r="C43" s="12">
        <v>2.715375</v>
      </c>
      <c r="D43" s="13">
        <v>15.66</v>
      </c>
      <c r="E43" s="14">
        <f t="shared" si="1"/>
        <v>43</v>
      </c>
      <c r="F43" s="13"/>
      <c r="G43" s="13">
        <f t="shared" si="2"/>
        <v>0</v>
      </c>
      <c r="H43" s="1" t="s">
        <v>14</v>
      </c>
      <c r="I43" s="1" t="s">
        <v>39</v>
      </c>
    </row>
    <row r="44" spans="1:9" ht="42" hidden="1">
      <c r="A44" s="10" t="s">
        <v>55</v>
      </c>
      <c r="B44" s="11" t="s">
        <v>56</v>
      </c>
      <c r="C44" s="12">
        <v>4.0125</v>
      </c>
      <c r="D44" s="13">
        <v>1.26</v>
      </c>
      <c r="E44" s="14">
        <f t="shared" si="1"/>
        <v>5</v>
      </c>
      <c r="F44" s="13"/>
      <c r="G44" s="13">
        <f t="shared" si="2"/>
        <v>0</v>
      </c>
      <c r="H44" s="1" t="s">
        <v>14</v>
      </c>
      <c r="I44" s="1" t="s">
        <v>39</v>
      </c>
    </row>
    <row r="45" spans="1:9" ht="10.5" hidden="1">
      <c r="A45" s="40" t="s">
        <v>57</v>
      </c>
      <c r="B45" s="42" t="s">
        <v>58</v>
      </c>
      <c r="C45" s="43">
        <v>23.993245</v>
      </c>
      <c r="D45" s="20">
        <v>87.17</v>
      </c>
      <c r="E45" s="21">
        <f t="shared" si="1"/>
        <v>2091</v>
      </c>
      <c r="F45" s="20"/>
      <c r="G45" s="20">
        <f t="shared" si="2"/>
        <v>0</v>
      </c>
      <c r="H45" s="1" t="s">
        <v>14</v>
      </c>
      <c r="I45" s="1" t="s">
        <v>39</v>
      </c>
    </row>
    <row r="46" spans="1:7" ht="33" customHeight="1" hidden="1">
      <c r="A46" s="41"/>
      <c r="B46" s="41"/>
      <c r="C46" s="41"/>
      <c r="D46" s="13">
        <v>11.6</v>
      </c>
      <c r="E46" s="14">
        <f>ROUND(IF(C45="",0,C45)*IF(D46="",0,D46),0)</f>
        <v>278</v>
      </c>
      <c r="F46" s="13"/>
      <c r="G46" s="13">
        <f>ROUND(IF(C45="",0,C45)*IF(F46="",0,F46),2)</f>
        <v>0</v>
      </c>
    </row>
    <row r="47" spans="1:9" ht="63" hidden="1">
      <c r="A47" s="10" t="s">
        <v>59</v>
      </c>
      <c r="B47" s="11" t="s">
        <v>60</v>
      </c>
      <c r="C47" s="12">
        <v>1.938</v>
      </c>
      <c r="D47" s="13">
        <v>17.04</v>
      </c>
      <c r="E47" s="14">
        <f>ROUND(IF(C47="",0,C47)*IF(D47="",0,D47),0)</f>
        <v>33</v>
      </c>
      <c r="F47" s="13"/>
      <c r="G47" s="13">
        <f>ROUND(IF(C47="",0,C47)*IF(F47="",0,F47),2)</f>
        <v>0</v>
      </c>
      <c r="H47" s="1" t="s">
        <v>14</v>
      </c>
      <c r="I47" s="1" t="s">
        <v>39</v>
      </c>
    </row>
    <row r="48" spans="1:9" ht="10.5" hidden="1">
      <c r="A48" s="40" t="s">
        <v>61</v>
      </c>
      <c r="B48" s="42" t="s">
        <v>62</v>
      </c>
      <c r="C48" s="43">
        <v>0.56202</v>
      </c>
      <c r="D48" s="20">
        <v>98.24</v>
      </c>
      <c r="E48" s="21">
        <f>ROUND(IF(C48="",0,C48)*IF(D48="",0,D48),0)</f>
        <v>55</v>
      </c>
      <c r="F48" s="20"/>
      <c r="G48" s="20">
        <f>ROUND(IF(C48="",0,C48)*IF(F48="",0,F48),2)</f>
        <v>0</v>
      </c>
      <c r="H48" s="1" t="s">
        <v>14</v>
      </c>
      <c r="I48" s="1" t="s">
        <v>39</v>
      </c>
    </row>
    <row r="49" spans="1:7" ht="33" customHeight="1" hidden="1">
      <c r="A49" s="41"/>
      <c r="B49" s="41"/>
      <c r="C49" s="41"/>
      <c r="D49" s="13">
        <v>21.08</v>
      </c>
      <c r="E49" s="14">
        <f>ROUND(IF(C48="",0,C48)*IF(D49="",0,D49),0)</f>
        <v>12</v>
      </c>
      <c r="F49" s="13"/>
      <c r="G49" s="13">
        <f>ROUND(IF(C48="",0,C48)*IF(F49="",0,F49),2)</f>
        <v>0</v>
      </c>
    </row>
    <row r="50" spans="1:8" ht="10.5" hidden="1">
      <c r="A50" s="15"/>
      <c r="B50" s="16" t="s">
        <v>30</v>
      </c>
      <c r="C50" s="15"/>
      <c r="D50" s="15"/>
      <c r="E50" s="18">
        <f>ROUND(SUMIF(H34:H50,"=s",E34:E50),0)</f>
        <v>3070</v>
      </c>
      <c r="F50" s="15"/>
      <c r="G50" s="19">
        <f>ROUND(SUMIF(H34:H50,"=s",G34:G50),2)</f>
        <v>0</v>
      </c>
      <c r="H50" s="1" t="s">
        <v>31</v>
      </c>
    </row>
    <row r="51" ht="10.5" hidden="1"/>
    <row r="52" spans="1:7" ht="10.5">
      <c r="A52" s="8"/>
      <c r="B52" s="9" t="s">
        <v>63</v>
      </c>
      <c r="C52" s="8"/>
      <c r="D52" s="8"/>
      <c r="E52" s="8"/>
      <c r="F52" s="8"/>
      <c r="G52" s="8"/>
    </row>
    <row r="54" spans="1:9" ht="42" hidden="1">
      <c r="A54" s="10" t="s">
        <v>64</v>
      </c>
      <c r="B54" s="11" t="s">
        <v>65</v>
      </c>
      <c r="C54" s="12">
        <v>0</v>
      </c>
      <c r="D54" s="13">
        <v>12430</v>
      </c>
      <c r="E54" s="14">
        <f aca="true" t="shared" si="3" ref="E54:E70">ROUND(IF(C54="",0,C54)*IF(D54="",0,D54),0)</f>
        <v>0</v>
      </c>
      <c r="F54" s="13"/>
      <c r="G54" s="13">
        <f aca="true" t="shared" si="4" ref="G54:G70">ROUND(IF(C54="",0,C54)*IF(F54="",0,F54),2)</f>
        <v>0</v>
      </c>
      <c r="H54" s="1" t="s">
        <v>14</v>
      </c>
      <c r="I54" s="1" t="s">
        <v>66</v>
      </c>
    </row>
    <row r="55" spans="1:9" ht="31.5">
      <c r="A55" s="27" t="s">
        <v>125</v>
      </c>
      <c r="B55" s="25" t="s">
        <v>115</v>
      </c>
      <c r="C55" s="12">
        <v>1200</v>
      </c>
      <c r="D55" s="13">
        <v>1.8</v>
      </c>
      <c r="E55" s="14">
        <f t="shared" si="3"/>
        <v>2160</v>
      </c>
      <c r="F55" s="13">
        <v>0.85</v>
      </c>
      <c r="G55" s="13">
        <f t="shared" si="4"/>
        <v>1020</v>
      </c>
      <c r="H55" s="1" t="s">
        <v>14</v>
      </c>
      <c r="I55" s="1" t="s">
        <v>66</v>
      </c>
    </row>
    <row r="56" spans="1:9" ht="41.25" customHeight="1">
      <c r="A56" s="27" t="s">
        <v>126</v>
      </c>
      <c r="B56" s="25" t="s">
        <v>116</v>
      </c>
      <c r="C56" s="12">
        <v>8</v>
      </c>
      <c r="D56" s="13">
        <v>72.8</v>
      </c>
      <c r="E56" s="14">
        <f t="shared" si="3"/>
        <v>582</v>
      </c>
      <c r="F56" s="13">
        <v>305.08</v>
      </c>
      <c r="G56" s="13">
        <f t="shared" si="4"/>
        <v>2440.64</v>
      </c>
      <c r="H56" s="1" t="s">
        <v>14</v>
      </c>
      <c r="I56" s="1" t="s">
        <v>66</v>
      </c>
    </row>
    <row r="57" spans="1:9" ht="31.5" hidden="1">
      <c r="A57" s="27" t="s">
        <v>127</v>
      </c>
      <c r="B57" s="11" t="s">
        <v>67</v>
      </c>
      <c r="C57" s="12">
        <v>0</v>
      </c>
      <c r="D57" s="13">
        <v>13420</v>
      </c>
      <c r="E57" s="14">
        <f t="shared" si="3"/>
        <v>0</v>
      </c>
      <c r="F57" s="13"/>
      <c r="G57" s="13">
        <f t="shared" si="4"/>
        <v>0</v>
      </c>
      <c r="H57" s="1" t="s">
        <v>14</v>
      </c>
      <c r="I57" s="1" t="s">
        <v>66</v>
      </c>
    </row>
    <row r="58" spans="1:9" ht="42">
      <c r="A58" s="27" t="s">
        <v>128</v>
      </c>
      <c r="B58" s="25" t="s">
        <v>117</v>
      </c>
      <c r="C58" s="12">
        <v>650</v>
      </c>
      <c r="D58" s="13">
        <v>7.55</v>
      </c>
      <c r="E58" s="14">
        <f t="shared" si="3"/>
        <v>4908</v>
      </c>
      <c r="F58" s="13">
        <v>25.42</v>
      </c>
      <c r="G58" s="13">
        <f t="shared" si="4"/>
        <v>16523</v>
      </c>
      <c r="H58" s="1" t="s">
        <v>14</v>
      </c>
      <c r="I58" s="1" t="s">
        <v>66</v>
      </c>
    </row>
    <row r="59" spans="1:9" ht="31.5">
      <c r="A59" s="27" t="s">
        <v>129</v>
      </c>
      <c r="B59" s="25" t="s">
        <v>118</v>
      </c>
      <c r="C59" s="12">
        <v>350</v>
      </c>
      <c r="D59" s="13">
        <v>6.49</v>
      </c>
      <c r="E59" s="14">
        <f t="shared" si="3"/>
        <v>2272</v>
      </c>
      <c r="F59" s="13">
        <v>2.97</v>
      </c>
      <c r="G59" s="13">
        <f t="shared" si="4"/>
        <v>1039.5</v>
      </c>
      <c r="H59" s="1" t="s">
        <v>14</v>
      </c>
      <c r="I59" s="1" t="s">
        <v>66</v>
      </c>
    </row>
    <row r="60" spans="1:9" ht="52.5">
      <c r="A60" s="27" t="s">
        <v>130</v>
      </c>
      <c r="B60" s="25" t="s">
        <v>119</v>
      </c>
      <c r="C60" s="12">
        <v>720</v>
      </c>
      <c r="D60" s="13">
        <v>39.37</v>
      </c>
      <c r="E60" s="14">
        <f t="shared" si="3"/>
        <v>28346</v>
      </c>
      <c r="F60" s="13">
        <v>199.15</v>
      </c>
      <c r="G60" s="13">
        <f t="shared" si="4"/>
        <v>143388</v>
      </c>
      <c r="H60" s="1" t="s">
        <v>14</v>
      </c>
      <c r="I60" s="1" t="s">
        <v>66</v>
      </c>
    </row>
    <row r="61" spans="1:9" ht="42" hidden="1">
      <c r="A61" s="27" t="s">
        <v>131</v>
      </c>
      <c r="B61" s="11" t="s">
        <v>68</v>
      </c>
      <c r="C61" s="12">
        <v>0</v>
      </c>
      <c r="D61" s="13">
        <v>12.28</v>
      </c>
      <c r="E61" s="14">
        <f t="shared" si="3"/>
        <v>0</v>
      </c>
      <c r="F61" s="13"/>
      <c r="G61" s="13">
        <f t="shared" si="4"/>
        <v>0</v>
      </c>
      <c r="H61" s="1" t="s">
        <v>14</v>
      </c>
      <c r="I61" s="1" t="s">
        <v>66</v>
      </c>
    </row>
    <row r="62" spans="1:9" ht="31.5">
      <c r="A62" s="27" t="s">
        <v>132</v>
      </c>
      <c r="B62" s="25" t="s">
        <v>120</v>
      </c>
      <c r="C62" s="12">
        <v>8</v>
      </c>
      <c r="D62" s="13">
        <v>51.14</v>
      </c>
      <c r="E62" s="14">
        <f t="shared" si="3"/>
        <v>409</v>
      </c>
      <c r="F62" s="13">
        <v>305.08</v>
      </c>
      <c r="G62" s="13">
        <f t="shared" si="4"/>
        <v>2440.64</v>
      </c>
      <c r="H62" s="1" t="s">
        <v>14</v>
      </c>
      <c r="I62" s="1" t="s">
        <v>66</v>
      </c>
    </row>
    <row r="63" spans="1:9" ht="31.5">
      <c r="A63" s="27" t="s">
        <v>133</v>
      </c>
      <c r="B63" s="25" t="s">
        <v>121</v>
      </c>
      <c r="C63" s="12">
        <v>3400</v>
      </c>
      <c r="D63" s="13">
        <v>7.88</v>
      </c>
      <c r="E63" s="14">
        <f t="shared" si="3"/>
        <v>26792</v>
      </c>
      <c r="F63" s="13">
        <v>6.95</v>
      </c>
      <c r="G63" s="13">
        <f t="shared" si="4"/>
        <v>23630</v>
      </c>
      <c r="H63" s="1" t="s">
        <v>14</v>
      </c>
      <c r="I63" s="1" t="s">
        <v>66</v>
      </c>
    </row>
    <row r="64" spans="1:9" ht="51" customHeight="1">
      <c r="A64" s="27" t="s">
        <v>134</v>
      </c>
      <c r="B64" s="25" t="s">
        <v>122</v>
      </c>
      <c r="C64" s="12">
        <f>29.07+3.14</f>
        <v>32.21</v>
      </c>
      <c r="D64" s="13">
        <v>1120.55</v>
      </c>
      <c r="E64" s="14">
        <f t="shared" si="3"/>
        <v>36093</v>
      </c>
      <c r="F64" s="13">
        <v>3855.93</v>
      </c>
      <c r="G64" s="13">
        <f t="shared" si="4"/>
        <v>124199.51</v>
      </c>
      <c r="H64" s="1" t="s">
        <v>14</v>
      </c>
      <c r="I64" s="1" t="s">
        <v>66</v>
      </c>
    </row>
    <row r="65" spans="1:9" ht="52.5" hidden="1">
      <c r="A65" s="27" t="s">
        <v>135</v>
      </c>
      <c r="B65" s="11" t="s">
        <v>69</v>
      </c>
      <c r="C65" s="12"/>
      <c r="D65" s="13">
        <v>1120.55</v>
      </c>
      <c r="E65" s="14">
        <f t="shared" si="3"/>
        <v>0</v>
      </c>
      <c r="F65" s="13"/>
      <c r="G65" s="13">
        <f t="shared" si="4"/>
        <v>0</v>
      </c>
      <c r="H65" s="1" t="s">
        <v>14</v>
      </c>
      <c r="I65" s="1" t="s">
        <v>66</v>
      </c>
    </row>
    <row r="66" spans="1:9" ht="42" hidden="1">
      <c r="A66" s="27" t="s">
        <v>136</v>
      </c>
      <c r="B66" s="11" t="s">
        <v>70</v>
      </c>
      <c r="C66" s="12"/>
      <c r="D66" s="13">
        <v>6820</v>
      </c>
      <c r="E66" s="14">
        <f t="shared" si="3"/>
        <v>0</v>
      </c>
      <c r="F66" s="13"/>
      <c r="G66" s="13">
        <f t="shared" si="4"/>
        <v>0</v>
      </c>
      <c r="H66" s="1" t="s">
        <v>14</v>
      </c>
      <c r="I66" s="1" t="s">
        <v>66</v>
      </c>
    </row>
    <row r="67" spans="1:9" ht="31.5">
      <c r="A67" s="27" t="s">
        <v>137</v>
      </c>
      <c r="B67" s="25" t="s">
        <v>123</v>
      </c>
      <c r="C67" s="12">
        <v>66</v>
      </c>
      <c r="D67" s="13">
        <v>6.63</v>
      </c>
      <c r="E67" s="14">
        <f t="shared" si="3"/>
        <v>438</v>
      </c>
      <c r="F67" s="13">
        <v>55.93</v>
      </c>
      <c r="G67" s="13">
        <f t="shared" si="4"/>
        <v>3691.38</v>
      </c>
      <c r="H67" s="1" t="s">
        <v>14</v>
      </c>
      <c r="I67" s="1" t="s">
        <v>66</v>
      </c>
    </row>
    <row r="68" spans="1:9" ht="31.5">
      <c r="A68" s="27" t="s">
        <v>138</v>
      </c>
      <c r="B68" s="11" t="s">
        <v>71</v>
      </c>
      <c r="C68" s="12">
        <v>39.6</v>
      </c>
      <c r="D68" s="13">
        <v>98.6</v>
      </c>
      <c r="E68" s="14">
        <f t="shared" si="3"/>
        <v>3905</v>
      </c>
      <c r="F68" s="13">
        <v>432.2</v>
      </c>
      <c r="G68" s="13">
        <f t="shared" si="4"/>
        <v>17115.12</v>
      </c>
      <c r="H68" s="1" t="s">
        <v>14</v>
      </c>
      <c r="I68" s="1" t="s">
        <v>66</v>
      </c>
    </row>
    <row r="69" spans="1:9" ht="31.5">
      <c r="A69" s="27" t="s">
        <v>139</v>
      </c>
      <c r="B69" s="11" t="s">
        <v>72</v>
      </c>
      <c r="C69" s="12">
        <v>16.4</v>
      </c>
      <c r="D69" s="13">
        <v>98.6</v>
      </c>
      <c r="E69" s="14">
        <f t="shared" si="3"/>
        <v>1617</v>
      </c>
      <c r="F69" s="13">
        <v>432.2</v>
      </c>
      <c r="G69" s="13">
        <f t="shared" si="4"/>
        <v>7088.08</v>
      </c>
      <c r="H69" s="1" t="s">
        <v>14</v>
      </c>
      <c r="I69" s="1" t="s">
        <v>66</v>
      </c>
    </row>
    <row r="70" spans="1:9" ht="31.5">
      <c r="A70" s="27" t="s">
        <v>140</v>
      </c>
      <c r="B70" s="11" t="s">
        <v>73</v>
      </c>
      <c r="C70" s="12">
        <v>7</v>
      </c>
      <c r="D70" s="13">
        <v>338.32</v>
      </c>
      <c r="E70" s="14">
        <f t="shared" si="3"/>
        <v>2368</v>
      </c>
      <c r="F70" s="13">
        <v>1483.05</v>
      </c>
      <c r="G70" s="13">
        <f t="shared" si="4"/>
        <v>10381.35</v>
      </c>
      <c r="H70" s="1" t="s">
        <v>14</v>
      </c>
      <c r="I70" s="1" t="s">
        <v>66</v>
      </c>
    </row>
    <row r="71" spans="1:8" ht="10.5">
      <c r="A71" s="15"/>
      <c r="B71" s="16" t="s">
        <v>30</v>
      </c>
      <c r="C71" s="15"/>
      <c r="D71" s="15"/>
      <c r="E71" s="18">
        <f>ROUND(SUMIF(H54:H71,"=s",E54:E71),0)</f>
        <v>109890</v>
      </c>
      <c r="F71" s="15"/>
      <c r="G71" s="19">
        <f>ROUND(SUMIF(H54:H71,"=s",G54:G71),2)</f>
        <v>352957.22</v>
      </c>
      <c r="H71" s="1" t="s">
        <v>31</v>
      </c>
    </row>
    <row r="73" spans="2:7" ht="10.5">
      <c r="B73" s="5" t="s">
        <v>74</v>
      </c>
      <c r="E73" s="22">
        <f>ROUND((SUMIF(H15:H72,"=sum",E15:E72)),2)</f>
        <v>120921</v>
      </c>
      <c r="G73" s="22">
        <f>ROUND((SUMIF(H15:H72,"=sum",G15:G72)),2)</f>
        <v>352957.22</v>
      </c>
    </row>
    <row r="74" spans="2:7" ht="10.5">
      <c r="B74" s="5" t="s">
        <v>75</v>
      </c>
      <c r="D74" s="23">
        <v>4</v>
      </c>
      <c r="E74" s="22">
        <f>ROUND((E73)*D74/100,2)</f>
        <v>4836.84</v>
      </c>
      <c r="F74" s="23">
        <v>4</v>
      </c>
      <c r="G74" s="22">
        <f>ROUND((G73)*F74/100,2)</f>
        <v>14118.29</v>
      </c>
    </row>
    <row r="75" spans="2:7" ht="10.5">
      <c r="B75" s="5" t="s">
        <v>76</v>
      </c>
      <c r="E75" s="22">
        <f>ROUND((E73+E74),2)</f>
        <v>125757.84</v>
      </c>
      <c r="G75" s="22">
        <f>ROUND((G73+G74),2)</f>
        <v>367075.51</v>
      </c>
    </row>
    <row r="76" spans="2:7" ht="10.5" hidden="1">
      <c r="B76" s="5" t="s">
        <v>77</v>
      </c>
      <c r="E76" s="22">
        <f>ROUND((SUMIF(I15:I75,"=Г",E15:E75)),2)</f>
        <v>7961</v>
      </c>
      <c r="G76" s="22">
        <f>ROUND((SUMIF(I15:I75,"=Г",G15:G75)),2)</f>
        <v>0</v>
      </c>
    </row>
    <row r="77" spans="2:7" ht="10.5" hidden="1">
      <c r="B77" s="5" t="s">
        <v>78</v>
      </c>
      <c r="E77" s="22">
        <f>ROUND((SUMIF(I15:I76,"=Ж",E15:E76)),2)</f>
        <v>50</v>
      </c>
      <c r="G77" s="22">
        <f>ROUND((SUMIF(I15:I76,"=Ж",G15:G76)),2)</f>
        <v>0</v>
      </c>
    </row>
    <row r="78" spans="2:7" ht="10.5">
      <c r="B78" s="5" t="s">
        <v>79</v>
      </c>
      <c r="E78" s="22">
        <f>ROUND((E76+E77),2)</f>
        <v>8011</v>
      </c>
      <c r="G78" s="22">
        <f>ROUND((G76+G77),2)</f>
        <v>0</v>
      </c>
    </row>
    <row r="79" spans="2:7" ht="10.5" hidden="1">
      <c r="B79" s="5" t="s">
        <v>80</v>
      </c>
      <c r="E79" s="22">
        <f>ROUND((SUMIF(I15:I78,"=Г",C15:C78)),2)</f>
        <v>888.82</v>
      </c>
      <c r="G79" s="22">
        <f>ROUND((SUMIF(I15:I78,"=Г",C15:C78)),2)-ROUND((SUMIF(I15:I78,"=Г",L15:L78)),2)</f>
        <v>888.82</v>
      </c>
    </row>
    <row r="80" spans="2:7" ht="10.5" hidden="1">
      <c r="B80" s="5" t="s">
        <v>81</v>
      </c>
      <c r="E80" s="22">
        <f>ROUND((SUMIF(I15:I79,"=Ж",C15:C79)),2)</f>
        <v>3.7</v>
      </c>
      <c r="G80" s="22">
        <f>ROUND((SUMIF(I15:I79,"=Ж",C15:C79)),2)</f>
        <v>3.7</v>
      </c>
    </row>
    <row r="81" spans="2:7" ht="10.5" hidden="1">
      <c r="B81" s="5" t="s">
        <v>82</v>
      </c>
      <c r="E81" s="22">
        <f>ROUND((E79+E80),2)</f>
        <v>892.52</v>
      </c>
      <c r="G81" s="22">
        <f>ROUND((G79+G80),2)</f>
        <v>892.52</v>
      </c>
    </row>
    <row r="82" spans="2:7" ht="10.5">
      <c r="B82" s="5" t="s">
        <v>83</v>
      </c>
      <c r="E82" s="22"/>
      <c r="G82" s="22">
        <v>5.65</v>
      </c>
    </row>
    <row r="83" spans="2:7" ht="10.5">
      <c r="B83" s="5" t="s">
        <v>84</v>
      </c>
      <c r="E83" s="22">
        <f>ROUND((SUMIF(I15:I82,"=IsMash",E15:E82)),2)</f>
        <v>3070</v>
      </c>
      <c r="G83" s="22"/>
    </row>
    <row r="84" spans="2:7" ht="10.5">
      <c r="B84" s="5" t="s">
        <v>85</v>
      </c>
      <c r="E84" s="22"/>
      <c r="G84" s="22">
        <f>ROUND((G82*E83),2)</f>
        <v>17345.5</v>
      </c>
    </row>
    <row r="85" spans="2:7" ht="10.5">
      <c r="B85" s="5" t="s">
        <v>86</v>
      </c>
      <c r="E85" s="22"/>
      <c r="G85" s="22">
        <v>17850</v>
      </c>
    </row>
    <row r="86" spans="2:7" ht="10.5">
      <c r="B86" s="5" t="s">
        <v>87</v>
      </c>
      <c r="E86" s="22"/>
      <c r="F86" s="23">
        <v>165.5</v>
      </c>
      <c r="G86" s="22">
        <f>ROUND((G85)/F86,2)</f>
        <v>107.85</v>
      </c>
    </row>
    <row r="87" spans="2:7" ht="10.5">
      <c r="B87" s="5" t="s">
        <v>88</v>
      </c>
      <c r="E87" s="22"/>
      <c r="G87" s="22">
        <f>ROUND((G86*G79),2)</f>
        <v>95859.24</v>
      </c>
    </row>
    <row r="88" spans="2:7" ht="10.5">
      <c r="B88" s="5" t="s">
        <v>89</v>
      </c>
      <c r="E88" s="22"/>
      <c r="G88" s="22">
        <f>ROUND((G86*G81),2)</f>
        <v>96258.28</v>
      </c>
    </row>
    <row r="89" spans="2:7" ht="10.5" hidden="1">
      <c r="B89" s="5" t="s">
        <v>90</v>
      </c>
      <c r="E89" s="22">
        <v>6330</v>
      </c>
      <c r="G89" s="22"/>
    </row>
    <row r="90" spans="2:7" ht="10.5" hidden="1">
      <c r="B90" s="5" t="s">
        <v>91</v>
      </c>
      <c r="D90" s="23">
        <v>100</v>
      </c>
      <c r="E90" s="22">
        <f>ROUND((E89)*D90,2)</f>
        <v>633000</v>
      </c>
      <c r="G90" s="22"/>
    </row>
    <row r="91" spans="2:7" ht="10.5" hidden="1">
      <c r="B91" s="5" t="s">
        <v>92</v>
      </c>
      <c r="E91" s="22">
        <v>3989</v>
      </c>
      <c r="G91" s="22"/>
    </row>
    <row r="92" spans="2:7" ht="10.5" hidden="1">
      <c r="B92" s="5" t="s">
        <v>93</v>
      </c>
      <c r="D92" s="23">
        <v>100</v>
      </c>
      <c r="E92" s="22">
        <f>ROUND((E91)*D92,2)</f>
        <v>398900</v>
      </c>
      <c r="G92" s="22"/>
    </row>
    <row r="93" spans="2:7" ht="10.5" hidden="1">
      <c r="B93" s="5" t="s">
        <v>94</v>
      </c>
      <c r="E93" s="22">
        <f>ROUND((E90/E78),2)</f>
        <v>79.02</v>
      </c>
      <c r="G93" s="22">
        <f>ROUND((E90/E78),2)</f>
        <v>79.02</v>
      </c>
    </row>
    <row r="94" spans="2:7" ht="10.5" hidden="1">
      <c r="B94" s="5" t="s">
        <v>93</v>
      </c>
      <c r="E94" s="22"/>
      <c r="G94" s="22">
        <f>ROUND((G93*G88),2)</f>
        <v>7606329.29</v>
      </c>
    </row>
    <row r="95" spans="2:7" ht="10.5">
      <c r="B95" s="5" t="s">
        <v>95</v>
      </c>
      <c r="E95" s="22"/>
      <c r="F95" s="23">
        <v>100</v>
      </c>
      <c r="G95" s="22">
        <f>ROUND((G94)/F95,2)</f>
        <v>76063.29</v>
      </c>
    </row>
    <row r="96" spans="2:7" ht="10.5" hidden="1">
      <c r="B96" s="5" t="s">
        <v>96</v>
      </c>
      <c r="E96" s="22">
        <f>ROUND((E92/E78),2)</f>
        <v>49.79</v>
      </c>
      <c r="G96" s="22">
        <f>ROUND((E92/E78),2)</f>
        <v>49.79</v>
      </c>
    </row>
    <row r="97" spans="2:7" ht="10.5" hidden="1">
      <c r="B97" s="5" t="s">
        <v>93</v>
      </c>
      <c r="E97" s="22"/>
      <c r="G97" s="22">
        <f>ROUND((G96*G88),2)</f>
        <v>4792699.76</v>
      </c>
    </row>
    <row r="98" spans="2:7" ht="10.5">
      <c r="B98" s="5" t="s">
        <v>97</v>
      </c>
      <c r="E98" s="22"/>
      <c r="F98" s="23">
        <v>100</v>
      </c>
      <c r="G98" s="22">
        <f>ROUND((G97)/F98,2)</f>
        <v>47927</v>
      </c>
    </row>
    <row r="99" spans="2:7" ht="10.5">
      <c r="B99" s="5" t="s">
        <v>98</v>
      </c>
      <c r="E99" s="22"/>
      <c r="G99" s="26">
        <f>ROUND((G84+G75+G87+G95+G98),2)</f>
        <v>604270.54</v>
      </c>
    </row>
    <row r="100" spans="2:7" ht="10.5" hidden="1">
      <c r="B100" s="5" t="s">
        <v>99</v>
      </c>
      <c r="D100" s="23">
        <v>0</v>
      </c>
      <c r="E100" s="22"/>
      <c r="F100" s="23">
        <v>0</v>
      </c>
      <c r="G100" s="26"/>
    </row>
    <row r="101" spans="2:7" ht="10.5" hidden="1">
      <c r="B101" s="5" t="s">
        <v>100</v>
      </c>
      <c r="E101" s="22"/>
      <c r="G101" s="26">
        <f>ROUND((G100+G99),2)</f>
        <v>604270.54</v>
      </c>
    </row>
    <row r="102" spans="2:7" ht="10.5" hidden="1">
      <c r="B102" s="5" t="s">
        <v>101</v>
      </c>
      <c r="D102" s="23">
        <v>0</v>
      </c>
      <c r="E102" s="22"/>
      <c r="F102" s="23">
        <v>0</v>
      </c>
      <c r="G102" s="26"/>
    </row>
    <row r="103" spans="2:7" ht="10.5" hidden="1">
      <c r="B103" s="5" t="s">
        <v>100</v>
      </c>
      <c r="E103" s="22"/>
      <c r="G103" s="26">
        <f>ROUND((G101+G102),2)</f>
        <v>604270.54</v>
      </c>
    </row>
    <row r="104" spans="2:7" ht="10.5" hidden="1">
      <c r="B104" s="5" t="s">
        <v>102</v>
      </c>
      <c r="D104" s="23">
        <v>0</v>
      </c>
      <c r="E104" s="22"/>
      <c r="F104" s="23">
        <v>0</v>
      </c>
      <c r="G104" s="26"/>
    </row>
    <row r="105" spans="2:7" ht="10.5" hidden="1">
      <c r="B105" s="5" t="s">
        <v>100</v>
      </c>
      <c r="E105" s="22"/>
      <c r="G105" s="26">
        <f>ROUND((G103+G104),2)</f>
        <v>604270.54</v>
      </c>
    </row>
    <row r="106" spans="2:7" ht="10.5" hidden="1">
      <c r="B106" s="5" t="s">
        <v>103</v>
      </c>
      <c r="E106" s="22"/>
      <c r="G106" s="26"/>
    </row>
    <row r="107" spans="2:7" ht="10.5" hidden="1">
      <c r="B107" s="5" t="s">
        <v>104</v>
      </c>
      <c r="D107" s="23">
        <v>0</v>
      </c>
      <c r="E107" s="22"/>
      <c r="F107" s="23">
        <v>0</v>
      </c>
      <c r="G107" s="26"/>
    </row>
    <row r="108" spans="2:7" ht="10.5" hidden="1">
      <c r="B108" s="5" t="s">
        <v>105</v>
      </c>
      <c r="D108" s="23">
        <v>0</v>
      </c>
      <c r="E108" s="22"/>
      <c r="F108" s="23">
        <v>0</v>
      </c>
      <c r="G108" s="26"/>
    </row>
    <row r="109" spans="2:7" ht="10.5" hidden="1">
      <c r="B109" s="5" t="s">
        <v>100</v>
      </c>
      <c r="E109" s="22"/>
      <c r="G109" s="26">
        <f>ROUND((G108+G107+G105),2)</f>
        <v>604270.54</v>
      </c>
    </row>
    <row r="110" spans="2:7" ht="10.5" hidden="1">
      <c r="B110" s="5" t="s">
        <v>106</v>
      </c>
      <c r="D110" s="23">
        <v>0</v>
      </c>
      <c r="E110" s="22"/>
      <c r="F110" s="23">
        <v>0</v>
      </c>
      <c r="G110" s="26"/>
    </row>
    <row r="111" spans="2:7" ht="10.5" hidden="1">
      <c r="B111" s="5" t="s">
        <v>107</v>
      </c>
      <c r="E111" s="22"/>
      <c r="G111" s="26">
        <f>ROUND((G110+G109),2)</f>
        <v>604270.54</v>
      </c>
    </row>
    <row r="112" spans="2:7" ht="10.5">
      <c r="B112" s="5" t="s">
        <v>108</v>
      </c>
      <c r="E112" s="22"/>
      <c r="F112" s="23">
        <v>18</v>
      </c>
      <c r="G112" s="26">
        <f>ROUND((G111)*F112/100,2)</f>
        <v>108768.7</v>
      </c>
    </row>
    <row r="113" spans="2:7" ht="10.5">
      <c r="B113" s="5" t="s">
        <v>109</v>
      </c>
      <c r="E113" s="22"/>
      <c r="G113" s="26">
        <f>ROUND((G111+G112),2)+1</f>
        <v>713040.24</v>
      </c>
    </row>
    <row r="114" spans="2:7" ht="10.5" hidden="1">
      <c r="B114" s="5" t="s">
        <v>110</v>
      </c>
      <c r="D114" s="23">
        <v>0</v>
      </c>
      <c r="E114" s="22"/>
      <c r="F114" s="23">
        <v>0</v>
      </c>
      <c r="G114" s="22"/>
    </row>
    <row r="115" spans="2:7" ht="10.5" hidden="1">
      <c r="B115" s="5" t="s">
        <v>111</v>
      </c>
      <c r="E115" s="22"/>
      <c r="G115" s="22"/>
    </row>
    <row r="117" spans="2:7" ht="10.5">
      <c r="B117" s="4" t="s">
        <v>112</v>
      </c>
      <c r="C117" s="31"/>
      <c r="D117" s="31"/>
      <c r="E117" s="31"/>
      <c r="F117" s="31"/>
      <c r="G117" s="31"/>
    </row>
    <row r="118" spans="3:9" ht="10.5">
      <c r="C118" s="32" t="s">
        <v>113</v>
      </c>
      <c r="D118" s="32"/>
      <c r="E118" s="32"/>
      <c r="F118" s="32"/>
      <c r="G118" s="32"/>
      <c r="H118" s="32"/>
      <c r="I118" s="32"/>
    </row>
    <row r="120" spans="2:7" ht="10.5">
      <c r="B120" s="4" t="s">
        <v>114</v>
      </c>
      <c r="C120" s="31"/>
      <c r="D120" s="31"/>
      <c r="E120" s="31"/>
      <c r="F120" s="31"/>
      <c r="G120" s="31"/>
    </row>
    <row r="121" spans="3:21" ht="10.5">
      <c r="C121" s="32" t="s">
        <v>113</v>
      </c>
      <c r="D121" s="32"/>
      <c r="E121" s="32"/>
      <c r="F121" s="32"/>
      <c r="G121" s="32"/>
      <c r="H121" s="32"/>
      <c r="I121" s="32"/>
      <c r="Q121" s="28">
        <v>41</v>
      </c>
      <c r="R121" s="29"/>
      <c r="S121" s="29"/>
      <c r="T121" s="29"/>
      <c r="U121" s="30"/>
    </row>
    <row r="122" ht="10.5">
      <c r="A122" s="24"/>
    </row>
  </sheetData>
  <mergeCells count="28">
    <mergeCell ref="B1:G1"/>
    <mergeCell ref="B2:G2"/>
    <mergeCell ref="C3:G3"/>
    <mergeCell ref="A7:G7"/>
    <mergeCell ref="A8:G8"/>
    <mergeCell ref="A9:G9"/>
    <mergeCell ref="B45:B46"/>
    <mergeCell ref="C45:C46"/>
    <mergeCell ref="F11:G12"/>
    <mergeCell ref="A34:A35"/>
    <mergeCell ref="B34:B35"/>
    <mergeCell ref="C34:C35"/>
    <mergeCell ref="A11:A13"/>
    <mergeCell ref="B11:B13"/>
    <mergeCell ref="C11:C13"/>
    <mergeCell ref="D11:E12"/>
    <mergeCell ref="A48:A49"/>
    <mergeCell ref="B48:B49"/>
    <mergeCell ref="C48:C49"/>
    <mergeCell ref="A36:A37"/>
    <mergeCell ref="B36:B37"/>
    <mergeCell ref="C36:C37"/>
    <mergeCell ref="A45:A46"/>
    <mergeCell ref="Q121:U121"/>
    <mergeCell ref="C117:G117"/>
    <mergeCell ref="C118:I118"/>
    <mergeCell ref="C120:G120"/>
    <mergeCell ref="C121:I121"/>
  </mergeCells>
  <printOptions/>
  <pageMargins left="0.7874015748031495" right="0.39370078740157477" top="0.39370078740157477" bottom="0.39370078740157477" header="0.39370078740157477" footer="0.3937007874015747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tender1</cp:lastModifiedBy>
  <cp:lastPrinted>2012-08-01T05:18:00Z</cp:lastPrinted>
  <dcterms:created xsi:type="dcterms:W3CDTF">2012-07-23T09:38:02Z</dcterms:created>
  <dcterms:modified xsi:type="dcterms:W3CDTF">2012-08-01T05:18:31Z</dcterms:modified>
  <cp:category/>
  <cp:version/>
  <cp:contentType/>
  <cp:contentStatus/>
</cp:coreProperties>
</file>